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<sst xmlns="http://schemas.openxmlformats.org/spreadsheetml/2006/main" count="925" uniqueCount="18">
  <si>
    <t>三亚市旅游和文化广电体育局2023年公开招聘下属事业单位工作人员资格初审合格人员名单</t>
  </si>
  <si>
    <t>序号</t>
  </si>
  <si>
    <t>报考号</t>
  </si>
  <si>
    <t>招聘单位</t>
  </si>
  <si>
    <t>岗位代码</t>
  </si>
  <si>
    <t>岗位名称</t>
  </si>
  <si>
    <t>姓名</t>
  </si>
  <si>
    <t>性别</t>
  </si>
  <si>
    <t>备注</t>
  </si>
  <si>
    <t>三亚市群众艺术馆</t>
  </si>
  <si>
    <t>群文活动岗1</t>
  </si>
  <si>
    <t>群文活动岗2</t>
  </si>
  <si>
    <t>身份证后四位“5520”</t>
  </si>
  <si>
    <t>身份证后四位“0523”</t>
  </si>
  <si>
    <t>非遗技术岗</t>
  </si>
  <si>
    <t>艺术创作岗</t>
  </si>
  <si>
    <t>三亚市业余体育学校</t>
  </si>
  <si>
    <t>羽毛球教练员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</si>
</sst>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workbookViewId="0" topLeftCell="A441">
      <selection activeCell="M1" sqref="M1"/>
    </sheetView>
  </sheetViews>
  <sheetFormatPr defaultColWidth="9.00390625" defaultRowHeight="30" customHeight="1"/>
  <cols>
    <col min="1" max="1" width="9.00390625" style="2" customWidth="1"/>
    <col min="2" max="2" width="30.57421875" style="2" customWidth="1"/>
    <col min="3" max="3" width="19.7109375" style="2" customWidth="1"/>
    <col min="4" max="4" width="9.00390625" style="2" customWidth="1"/>
    <col min="5" max="5" width="11.8515625" style="2" customWidth="1"/>
    <col min="6" max="7" width="9.00390625" style="2" customWidth="1"/>
    <col min="8" max="8" width="13.00390625" style="2" customWidth="1"/>
    <col min="9" max="255" width="9.00390625" style="2" customWidth="1"/>
  </cols>
  <sheetData>
    <row r="1" spans="1:8" ht="6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5">
        <v>1</v>
      </c>
      <c r="B3" s="5" t="str">
        <f>"519720230522101403142289"</f>
        <v>519720230522101403142289</v>
      </c>
      <c r="C3" s="5" t="s">
        <v>9</v>
      </c>
      <c r="D3" s="5" t="str">
        <f aca="true" t="shared" si="0" ref="D3:D12">"0101"</f>
        <v>0101</v>
      </c>
      <c r="E3" s="5" t="s">
        <v>10</v>
      </c>
      <c r="F3" s="5" t="str">
        <f>"唐圣涵"</f>
        <v>唐圣涵</v>
      </c>
      <c r="G3" s="5" t="str">
        <f>"女"</f>
        <v>女</v>
      </c>
      <c r="H3" s="5"/>
    </row>
    <row r="4" spans="1:8" ht="30" customHeight="1">
      <c r="A4" s="5">
        <v>2</v>
      </c>
      <c r="B4" s="5" t="str">
        <f>"519720230523090958142659"</f>
        <v>519720230523090958142659</v>
      </c>
      <c r="C4" s="5" t="s">
        <v>9</v>
      </c>
      <c r="D4" s="5" t="str">
        <f t="shared" si="0"/>
        <v>0101</v>
      </c>
      <c r="E4" s="5" t="s">
        <v>10</v>
      </c>
      <c r="F4" s="5" t="str">
        <f>"裴珏"</f>
        <v>裴珏</v>
      </c>
      <c r="G4" s="5" t="str">
        <f>"女"</f>
        <v>女</v>
      </c>
      <c r="H4" s="5"/>
    </row>
    <row r="5" spans="1:8" ht="30" customHeight="1">
      <c r="A5" s="5">
        <v>3</v>
      </c>
      <c r="B5" s="5" t="str">
        <f>"519720230522200925142569"</f>
        <v>519720230522200925142569</v>
      </c>
      <c r="C5" s="5" t="s">
        <v>9</v>
      </c>
      <c r="D5" s="5" t="str">
        <f t="shared" si="0"/>
        <v>0101</v>
      </c>
      <c r="E5" s="5" t="s">
        <v>10</v>
      </c>
      <c r="F5" s="5" t="str">
        <f>"罗咪"</f>
        <v>罗咪</v>
      </c>
      <c r="G5" s="5" t="str">
        <f>"女"</f>
        <v>女</v>
      </c>
      <c r="H5" s="5"/>
    </row>
    <row r="6" spans="1:8" ht="30" customHeight="1">
      <c r="A6" s="5">
        <v>4</v>
      </c>
      <c r="B6" s="5" t="str">
        <f>"519720230523143630142767"</f>
        <v>519720230523143630142767</v>
      </c>
      <c r="C6" s="5" t="s">
        <v>9</v>
      </c>
      <c r="D6" s="5" t="str">
        <f t="shared" si="0"/>
        <v>0101</v>
      </c>
      <c r="E6" s="5" t="s">
        <v>10</v>
      </c>
      <c r="F6" s="5" t="str">
        <f>"孙志超"</f>
        <v>孙志超</v>
      </c>
      <c r="G6" s="5" t="str">
        <f>"女"</f>
        <v>女</v>
      </c>
      <c r="H6" s="5"/>
    </row>
    <row r="7" spans="1:8" ht="30" customHeight="1">
      <c r="A7" s="5">
        <v>5</v>
      </c>
      <c r="B7" s="5" t="str">
        <f>"519720230523194837142873"</f>
        <v>519720230523194837142873</v>
      </c>
      <c r="C7" s="5" t="s">
        <v>9</v>
      </c>
      <c r="D7" s="5" t="str">
        <f t="shared" si="0"/>
        <v>0101</v>
      </c>
      <c r="E7" s="5" t="s">
        <v>10</v>
      </c>
      <c r="F7" s="5" t="str">
        <f>"蔡梦何"</f>
        <v>蔡梦何</v>
      </c>
      <c r="G7" s="5" t="str">
        <f>"男"</f>
        <v>男</v>
      </c>
      <c r="H7" s="5"/>
    </row>
    <row r="8" spans="1:8" ht="30" customHeight="1">
      <c r="A8" s="5">
        <v>6</v>
      </c>
      <c r="B8" s="5" t="str">
        <f>"519720230523195944142876"</f>
        <v>519720230523195944142876</v>
      </c>
      <c r="C8" s="5" t="s">
        <v>9</v>
      </c>
      <c r="D8" s="5" t="str">
        <f t="shared" si="0"/>
        <v>0101</v>
      </c>
      <c r="E8" s="5" t="s">
        <v>10</v>
      </c>
      <c r="F8" s="5" t="str">
        <f>"江上城"</f>
        <v>江上城</v>
      </c>
      <c r="G8" s="5" t="str">
        <f>"男"</f>
        <v>男</v>
      </c>
      <c r="H8" s="5"/>
    </row>
    <row r="9" spans="1:8" ht="30" customHeight="1">
      <c r="A9" s="5">
        <v>7</v>
      </c>
      <c r="B9" s="5" t="str">
        <f>"519720230525181227143230"</f>
        <v>519720230525181227143230</v>
      </c>
      <c r="C9" s="5" t="s">
        <v>9</v>
      </c>
      <c r="D9" s="5" t="str">
        <f t="shared" si="0"/>
        <v>0101</v>
      </c>
      <c r="E9" s="5" t="s">
        <v>10</v>
      </c>
      <c r="F9" s="5" t="str">
        <f>"韦全越"</f>
        <v>韦全越</v>
      </c>
      <c r="G9" s="5" t="str">
        <f>"女"</f>
        <v>女</v>
      </c>
      <c r="H9" s="5"/>
    </row>
    <row r="10" spans="1:8" ht="30" customHeight="1">
      <c r="A10" s="5">
        <v>8</v>
      </c>
      <c r="B10" s="5" t="str">
        <f>"519720230530095751143918"</f>
        <v>519720230530095751143918</v>
      </c>
      <c r="C10" s="5" t="s">
        <v>9</v>
      </c>
      <c r="D10" s="5" t="str">
        <f t="shared" si="0"/>
        <v>0101</v>
      </c>
      <c r="E10" s="5" t="s">
        <v>10</v>
      </c>
      <c r="F10" s="5" t="str">
        <f>"吴岚岚"</f>
        <v>吴岚岚</v>
      </c>
      <c r="G10" s="5" t="str">
        <f>"女"</f>
        <v>女</v>
      </c>
      <c r="H10" s="5"/>
    </row>
    <row r="11" spans="1:8" ht="30" customHeight="1">
      <c r="A11" s="5">
        <v>9</v>
      </c>
      <c r="B11" s="5" t="str">
        <f>"519720230524162920143039"</f>
        <v>519720230524162920143039</v>
      </c>
      <c r="C11" s="5" t="s">
        <v>9</v>
      </c>
      <c r="D11" s="5" t="str">
        <f t="shared" si="0"/>
        <v>0101</v>
      </c>
      <c r="E11" s="5" t="s">
        <v>10</v>
      </c>
      <c r="F11" s="5" t="str">
        <f>"方圆"</f>
        <v>方圆</v>
      </c>
      <c r="G11" s="5" t="str">
        <f>"女"</f>
        <v>女</v>
      </c>
      <c r="H11" s="5"/>
    </row>
    <row r="12" spans="1:8" ht="30" customHeight="1">
      <c r="A12" s="5">
        <v>10</v>
      </c>
      <c r="B12" s="5" t="str">
        <f>"519720230606110231145214"</f>
        <v>519720230606110231145214</v>
      </c>
      <c r="C12" s="5" t="s">
        <v>9</v>
      </c>
      <c r="D12" s="5" t="str">
        <f t="shared" si="0"/>
        <v>0101</v>
      </c>
      <c r="E12" s="5" t="s">
        <v>10</v>
      </c>
      <c r="F12" s="5" t="str">
        <f>"王茜"</f>
        <v>王茜</v>
      </c>
      <c r="G12" s="5" t="str">
        <f>"女"</f>
        <v>女</v>
      </c>
      <c r="H12" s="5"/>
    </row>
    <row r="13" spans="1:8" ht="30" customHeight="1">
      <c r="A13" s="5">
        <v>11</v>
      </c>
      <c r="B13" s="5" t="str">
        <f>"519720230522090050142209"</f>
        <v>519720230522090050142209</v>
      </c>
      <c r="C13" s="5" t="s">
        <v>9</v>
      </c>
      <c r="D13" s="5" t="str">
        <f aca="true" t="shared" si="1" ref="D13:D76">"0102"</f>
        <v>0102</v>
      </c>
      <c r="E13" s="5" t="s">
        <v>11</v>
      </c>
      <c r="F13" s="5" t="str">
        <f>"周李靖"</f>
        <v>周李靖</v>
      </c>
      <c r="G13" s="5" t="str">
        <f>"男"</f>
        <v>男</v>
      </c>
      <c r="H13" s="5"/>
    </row>
    <row r="14" spans="1:8" ht="30" customHeight="1">
      <c r="A14" s="5">
        <v>12</v>
      </c>
      <c r="B14" s="5" t="str">
        <f>"519720230522092726142243"</f>
        <v>519720230522092726142243</v>
      </c>
      <c r="C14" s="5" t="s">
        <v>9</v>
      </c>
      <c r="D14" s="5" t="str">
        <f t="shared" si="1"/>
        <v>0102</v>
      </c>
      <c r="E14" s="5" t="s">
        <v>11</v>
      </c>
      <c r="F14" s="5" t="str">
        <f>"卢兴豪"</f>
        <v>卢兴豪</v>
      </c>
      <c r="G14" s="5" t="str">
        <f>"男"</f>
        <v>男</v>
      </c>
      <c r="H14" s="5"/>
    </row>
    <row r="15" spans="1:8" ht="30" customHeight="1">
      <c r="A15" s="5">
        <v>13</v>
      </c>
      <c r="B15" s="5" t="str">
        <f>"519720230522093802142252"</f>
        <v>519720230522093802142252</v>
      </c>
      <c r="C15" s="5" t="s">
        <v>9</v>
      </c>
      <c r="D15" s="5" t="str">
        <f t="shared" si="1"/>
        <v>0102</v>
      </c>
      <c r="E15" s="5" t="s">
        <v>11</v>
      </c>
      <c r="F15" s="5" t="str">
        <f>"李伦"</f>
        <v>李伦</v>
      </c>
      <c r="G15" s="5" t="str">
        <f>"女"</f>
        <v>女</v>
      </c>
      <c r="H15" s="5"/>
    </row>
    <row r="16" spans="1:8" ht="30" customHeight="1">
      <c r="A16" s="5">
        <v>14</v>
      </c>
      <c r="B16" s="5" t="str">
        <f>"519720230522100019142270"</f>
        <v>519720230522100019142270</v>
      </c>
      <c r="C16" s="5" t="s">
        <v>9</v>
      </c>
      <c r="D16" s="5" t="str">
        <f t="shared" si="1"/>
        <v>0102</v>
      </c>
      <c r="E16" s="5" t="s">
        <v>11</v>
      </c>
      <c r="F16" s="5" t="str">
        <f>"陈玲瑶"</f>
        <v>陈玲瑶</v>
      </c>
      <c r="G16" s="5" t="str">
        <f>"女"</f>
        <v>女</v>
      </c>
      <c r="H16" s="5"/>
    </row>
    <row r="17" spans="1:8" ht="30" customHeight="1">
      <c r="A17" s="5">
        <v>15</v>
      </c>
      <c r="B17" s="5" t="str">
        <f>"519720230522093830142253"</f>
        <v>519720230522093830142253</v>
      </c>
      <c r="C17" s="5" t="s">
        <v>9</v>
      </c>
      <c r="D17" s="5" t="str">
        <f t="shared" si="1"/>
        <v>0102</v>
      </c>
      <c r="E17" s="5" t="s">
        <v>11</v>
      </c>
      <c r="F17" s="5" t="str">
        <f>"叶高斌"</f>
        <v>叶高斌</v>
      </c>
      <c r="G17" s="5" t="str">
        <f>"男"</f>
        <v>男</v>
      </c>
      <c r="H17" s="5"/>
    </row>
    <row r="18" spans="1:8" ht="30" customHeight="1">
      <c r="A18" s="5">
        <v>16</v>
      </c>
      <c r="B18" s="5" t="str">
        <f>"519720230522100045142271"</f>
        <v>519720230522100045142271</v>
      </c>
      <c r="C18" s="5" t="s">
        <v>9</v>
      </c>
      <c r="D18" s="5" t="str">
        <f t="shared" si="1"/>
        <v>0102</v>
      </c>
      <c r="E18" s="5" t="s">
        <v>11</v>
      </c>
      <c r="F18" s="5" t="str">
        <f>"杨宇翔"</f>
        <v>杨宇翔</v>
      </c>
      <c r="G18" s="5" t="str">
        <f>"女"</f>
        <v>女</v>
      </c>
      <c r="H18" s="5"/>
    </row>
    <row r="19" spans="1:8" ht="30" customHeight="1">
      <c r="A19" s="5">
        <v>17</v>
      </c>
      <c r="B19" s="5" t="str">
        <f>"519720230522100545142279"</f>
        <v>519720230522100545142279</v>
      </c>
      <c r="C19" s="5" t="s">
        <v>9</v>
      </c>
      <c r="D19" s="5" t="str">
        <f t="shared" si="1"/>
        <v>0102</v>
      </c>
      <c r="E19" s="5" t="s">
        <v>11</v>
      </c>
      <c r="F19" s="5" t="str">
        <f>"梁景慧"</f>
        <v>梁景慧</v>
      </c>
      <c r="G19" s="5" t="str">
        <f>"女"</f>
        <v>女</v>
      </c>
      <c r="H19" s="5"/>
    </row>
    <row r="20" spans="1:8" ht="30" customHeight="1">
      <c r="A20" s="5">
        <v>18</v>
      </c>
      <c r="B20" s="5" t="str">
        <f>"519720230522105412142315"</f>
        <v>519720230522105412142315</v>
      </c>
      <c r="C20" s="5" t="s">
        <v>9</v>
      </c>
      <c r="D20" s="5" t="str">
        <f t="shared" si="1"/>
        <v>0102</v>
      </c>
      <c r="E20" s="5" t="s">
        <v>11</v>
      </c>
      <c r="F20" s="5" t="str">
        <f>"孙丹"</f>
        <v>孙丹</v>
      </c>
      <c r="G20" s="5" t="str">
        <f>"女"</f>
        <v>女</v>
      </c>
      <c r="H20" s="5"/>
    </row>
    <row r="21" spans="1:8" ht="30" customHeight="1">
      <c r="A21" s="5">
        <v>19</v>
      </c>
      <c r="B21" s="5" t="str">
        <f>"519720230522105637142319"</f>
        <v>519720230522105637142319</v>
      </c>
      <c r="C21" s="5" t="s">
        <v>9</v>
      </c>
      <c r="D21" s="5" t="str">
        <f t="shared" si="1"/>
        <v>0102</v>
      </c>
      <c r="E21" s="5" t="s">
        <v>11</v>
      </c>
      <c r="F21" s="5" t="str">
        <f>"徐一铭"</f>
        <v>徐一铭</v>
      </c>
      <c r="G21" s="5" t="str">
        <f>"男"</f>
        <v>男</v>
      </c>
      <c r="H21" s="5"/>
    </row>
    <row r="22" spans="1:8" ht="30" customHeight="1">
      <c r="A22" s="5">
        <v>20</v>
      </c>
      <c r="B22" s="5" t="str">
        <f>"519720230522110614142326"</f>
        <v>519720230522110614142326</v>
      </c>
      <c r="C22" s="5" t="s">
        <v>9</v>
      </c>
      <c r="D22" s="5" t="str">
        <f t="shared" si="1"/>
        <v>0102</v>
      </c>
      <c r="E22" s="5" t="s">
        <v>11</v>
      </c>
      <c r="F22" s="5" t="str">
        <f>"鲁思捷"</f>
        <v>鲁思捷</v>
      </c>
      <c r="G22" s="5" t="str">
        <f>"男"</f>
        <v>男</v>
      </c>
      <c r="H22" s="5"/>
    </row>
    <row r="23" spans="1:8" ht="30" customHeight="1">
      <c r="A23" s="5">
        <v>21</v>
      </c>
      <c r="B23" s="5" t="str">
        <f>"519720230522115537142361"</f>
        <v>519720230522115537142361</v>
      </c>
      <c r="C23" s="5" t="s">
        <v>9</v>
      </c>
      <c r="D23" s="5" t="str">
        <f t="shared" si="1"/>
        <v>0102</v>
      </c>
      <c r="E23" s="5" t="s">
        <v>11</v>
      </c>
      <c r="F23" s="5" t="str">
        <f>"韩莉"</f>
        <v>韩莉</v>
      </c>
      <c r="G23" s="5" t="str">
        <f>"女"</f>
        <v>女</v>
      </c>
      <c r="H23" s="5"/>
    </row>
    <row r="24" spans="1:8" ht="30" customHeight="1">
      <c r="A24" s="5">
        <v>22</v>
      </c>
      <c r="B24" s="5" t="str">
        <f>"519720230522123827142377"</f>
        <v>519720230522123827142377</v>
      </c>
      <c r="C24" s="5" t="s">
        <v>9</v>
      </c>
      <c r="D24" s="5" t="str">
        <f t="shared" si="1"/>
        <v>0102</v>
      </c>
      <c r="E24" s="5" t="s">
        <v>11</v>
      </c>
      <c r="F24" s="5" t="str">
        <f>"尹艺涵"</f>
        <v>尹艺涵</v>
      </c>
      <c r="G24" s="5" t="str">
        <f>"女"</f>
        <v>女</v>
      </c>
      <c r="H24" s="5"/>
    </row>
    <row r="25" spans="1:8" ht="30" customHeight="1">
      <c r="A25" s="5">
        <v>23</v>
      </c>
      <c r="B25" s="5" t="str">
        <f>"519720230522131708142388"</f>
        <v>519720230522131708142388</v>
      </c>
      <c r="C25" s="5" t="s">
        <v>9</v>
      </c>
      <c r="D25" s="5" t="str">
        <f t="shared" si="1"/>
        <v>0102</v>
      </c>
      <c r="E25" s="5" t="s">
        <v>11</v>
      </c>
      <c r="F25" s="5" t="str">
        <f>"林丹丹"</f>
        <v>林丹丹</v>
      </c>
      <c r="G25" s="5" t="str">
        <f>"女"</f>
        <v>女</v>
      </c>
      <c r="H25" s="5"/>
    </row>
    <row r="26" spans="1:8" ht="30" customHeight="1">
      <c r="A26" s="5">
        <v>24</v>
      </c>
      <c r="B26" s="5" t="str">
        <f>"519720230522140705142403"</f>
        <v>519720230522140705142403</v>
      </c>
      <c r="C26" s="5" t="s">
        <v>9</v>
      </c>
      <c r="D26" s="5" t="str">
        <f t="shared" si="1"/>
        <v>0102</v>
      </c>
      <c r="E26" s="5" t="s">
        <v>11</v>
      </c>
      <c r="F26" s="5" t="str">
        <f>"连心"</f>
        <v>连心</v>
      </c>
      <c r="G26" s="5" t="str">
        <f>"女"</f>
        <v>女</v>
      </c>
      <c r="H26" s="5"/>
    </row>
    <row r="27" spans="1:8" ht="30" customHeight="1">
      <c r="A27" s="5">
        <v>25</v>
      </c>
      <c r="B27" s="5" t="str">
        <f>"519720230522135630142399"</f>
        <v>519720230522135630142399</v>
      </c>
      <c r="C27" s="5" t="s">
        <v>9</v>
      </c>
      <c r="D27" s="5" t="str">
        <f t="shared" si="1"/>
        <v>0102</v>
      </c>
      <c r="E27" s="5" t="s">
        <v>11</v>
      </c>
      <c r="F27" s="5" t="str">
        <f>"李莉莉"</f>
        <v>李莉莉</v>
      </c>
      <c r="G27" s="5" t="str">
        <f>"女"</f>
        <v>女</v>
      </c>
      <c r="H27" s="5"/>
    </row>
    <row r="28" spans="1:8" ht="30" customHeight="1">
      <c r="A28" s="5">
        <v>26</v>
      </c>
      <c r="B28" s="5" t="str">
        <f>"519720230522135740142400"</f>
        <v>519720230522135740142400</v>
      </c>
      <c r="C28" s="5" t="s">
        <v>9</v>
      </c>
      <c r="D28" s="5" t="str">
        <f t="shared" si="1"/>
        <v>0102</v>
      </c>
      <c r="E28" s="5" t="s">
        <v>11</v>
      </c>
      <c r="F28" s="5" t="str">
        <f>"符有诗"</f>
        <v>符有诗</v>
      </c>
      <c r="G28" s="5" t="str">
        <f>"男"</f>
        <v>男</v>
      </c>
      <c r="H28" s="5"/>
    </row>
    <row r="29" spans="1:8" ht="30" customHeight="1">
      <c r="A29" s="5">
        <v>27</v>
      </c>
      <c r="B29" s="5" t="str">
        <f>"519720230522133453142394"</f>
        <v>519720230522133453142394</v>
      </c>
      <c r="C29" s="5" t="s">
        <v>9</v>
      </c>
      <c r="D29" s="5" t="str">
        <f t="shared" si="1"/>
        <v>0102</v>
      </c>
      <c r="E29" s="5" t="s">
        <v>11</v>
      </c>
      <c r="F29" s="5" t="str">
        <f>"赵琛歌"</f>
        <v>赵琛歌</v>
      </c>
      <c r="G29" s="5" t="str">
        <f>"女"</f>
        <v>女</v>
      </c>
      <c r="H29" s="5"/>
    </row>
    <row r="30" spans="1:8" ht="30" customHeight="1">
      <c r="A30" s="5">
        <v>28</v>
      </c>
      <c r="B30" s="5" t="str">
        <f>"519720230522141530142408"</f>
        <v>519720230522141530142408</v>
      </c>
      <c r="C30" s="5" t="s">
        <v>9</v>
      </c>
      <c r="D30" s="5" t="str">
        <f t="shared" si="1"/>
        <v>0102</v>
      </c>
      <c r="E30" s="5" t="s">
        <v>11</v>
      </c>
      <c r="F30" s="5" t="str">
        <f>"张梦怡"</f>
        <v>张梦怡</v>
      </c>
      <c r="G30" s="5" t="str">
        <f>"女"</f>
        <v>女</v>
      </c>
      <c r="H30" s="5"/>
    </row>
    <row r="31" spans="1:8" ht="30" customHeight="1">
      <c r="A31" s="5">
        <v>29</v>
      </c>
      <c r="B31" s="5" t="str">
        <f>"519720230522144939142421"</f>
        <v>519720230522144939142421</v>
      </c>
      <c r="C31" s="5" t="s">
        <v>9</v>
      </c>
      <c r="D31" s="5" t="str">
        <f t="shared" si="1"/>
        <v>0102</v>
      </c>
      <c r="E31" s="5" t="s">
        <v>11</v>
      </c>
      <c r="F31" s="5" t="str">
        <f>"江淑婷"</f>
        <v>江淑婷</v>
      </c>
      <c r="G31" s="5" t="str">
        <f>"女"</f>
        <v>女</v>
      </c>
      <c r="H31" s="5"/>
    </row>
    <row r="32" spans="1:8" ht="30" customHeight="1">
      <c r="A32" s="5">
        <v>30</v>
      </c>
      <c r="B32" s="5" t="str">
        <f>"519720230522135946142401"</f>
        <v>519720230522135946142401</v>
      </c>
      <c r="C32" s="5" t="s">
        <v>9</v>
      </c>
      <c r="D32" s="5" t="str">
        <f t="shared" si="1"/>
        <v>0102</v>
      </c>
      <c r="E32" s="5" t="s">
        <v>11</v>
      </c>
      <c r="F32" s="5" t="str">
        <f>"黄晓敏"</f>
        <v>黄晓敏</v>
      </c>
      <c r="G32" s="5" t="str">
        <f>"女"</f>
        <v>女</v>
      </c>
      <c r="H32" s="5"/>
    </row>
    <row r="33" spans="1:8" ht="30" customHeight="1">
      <c r="A33" s="5">
        <v>31</v>
      </c>
      <c r="B33" s="5" t="str">
        <f>"519720230522143446142414"</f>
        <v>519720230522143446142414</v>
      </c>
      <c r="C33" s="5" t="s">
        <v>9</v>
      </c>
      <c r="D33" s="5" t="str">
        <f t="shared" si="1"/>
        <v>0102</v>
      </c>
      <c r="E33" s="5" t="s">
        <v>11</v>
      </c>
      <c r="F33" s="5" t="str">
        <f>"黄桂"</f>
        <v>黄桂</v>
      </c>
      <c r="G33" s="5" t="str">
        <f>"女"</f>
        <v>女</v>
      </c>
      <c r="H33" s="5"/>
    </row>
    <row r="34" spans="1:8" ht="30" customHeight="1">
      <c r="A34" s="5">
        <v>32</v>
      </c>
      <c r="B34" s="5" t="str">
        <f>"519720230522131849142391"</f>
        <v>519720230522131849142391</v>
      </c>
      <c r="C34" s="5" t="s">
        <v>9</v>
      </c>
      <c r="D34" s="5" t="str">
        <f t="shared" si="1"/>
        <v>0102</v>
      </c>
      <c r="E34" s="5" t="s">
        <v>11</v>
      </c>
      <c r="F34" s="5" t="str">
        <f>"王志成"</f>
        <v>王志成</v>
      </c>
      <c r="G34" s="5" t="str">
        <f>"男"</f>
        <v>男</v>
      </c>
      <c r="H34" s="5"/>
    </row>
    <row r="35" spans="1:8" ht="30" customHeight="1">
      <c r="A35" s="5">
        <v>33</v>
      </c>
      <c r="B35" s="5" t="str">
        <f>"519720230522090415142215"</f>
        <v>519720230522090415142215</v>
      </c>
      <c r="C35" s="5" t="s">
        <v>9</v>
      </c>
      <c r="D35" s="5" t="str">
        <f t="shared" si="1"/>
        <v>0102</v>
      </c>
      <c r="E35" s="5" t="s">
        <v>11</v>
      </c>
      <c r="F35" s="5" t="str">
        <f>"赵园桃"</f>
        <v>赵园桃</v>
      </c>
      <c r="G35" s="5" t="str">
        <f>"女"</f>
        <v>女</v>
      </c>
      <c r="H35" s="5"/>
    </row>
    <row r="36" spans="1:8" ht="30" customHeight="1">
      <c r="A36" s="5">
        <v>34</v>
      </c>
      <c r="B36" s="5" t="str">
        <f>"519720230522103321142299"</f>
        <v>519720230522103321142299</v>
      </c>
      <c r="C36" s="5" t="s">
        <v>9</v>
      </c>
      <c r="D36" s="5" t="str">
        <f t="shared" si="1"/>
        <v>0102</v>
      </c>
      <c r="E36" s="5" t="s">
        <v>11</v>
      </c>
      <c r="F36" s="5" t="str">
        <f>"卓立夫"</f>
        <v>卓立夫</v>
      </c>
      <c r="G36" s="5" t="str">
        <f>"男"</f>
        <v>男</v>
      </c>
      <c r="H36" s="5"/>
    </row>
    <row r="37" spans="1:8" ht="30" customHeight="1">
      <c r="A37" s="5">
        <v>35</v>
      </c>
      <c r="B37" s="5" t="str">
        <f>"519720230522144829142420"</f>
        <v>519720230522144829142420</v>
      </c>
      <c r="C37" s="5" t="s">
        <v>9</v>
      </c>
      <c r="D37" s="5" t="str">
        <f t="shared" si="1"/>
        <v>0102</v>
      </c>
      <c r="E37" s="5" t="s">
        <v>11</v>
      </c>
      <c r="F37" s="5" t="str">
        <f>"王可晶"</f>
        <v>王可晶</v>
      </c>
      <c r="G37" s="5" t="str">
        <f aca="true" t="shared" si="2" ref="G37:G43">"女"</f>
        <v>女</v>
      </c>
      <c r="H37" s="5"/>
    </row>
    <row r="38" spans="1:8" ht="30" customHeight="1">
      <c r="A38" s="5">
        <v>36</v>
      </c>
      <c r="B38" s="5" t="str">
        <f>"519720230522153246142444"</f>
        <v>519720230522153246142444</v>
      </c>
      <c r="C38" s="5" t="s">
        <v>9</v>
      </c>
      <c r="D38" s="5" t="str">
        <f t="shared" si="1"/>
        <v>0102</v>
      </c>
      <c r="E38" s="5" t="s">
        <v>11</v>
      </c>
      <c r="F38" s="5" t="str">
        <f>"刘雪"</f>
        <v>刘雪</v>
      </c>
      <c r="G38" s="5" t="str">
        <f t="shared" si="2"/>
        <v>女</v>
      </c>
      <c r="H38" s="5"/>
    </row>
    <row r="39" spans="1:8" ht="30" customHeight="1">
      <c r="A39" s="5">
        <v>37</v>
      </c>
      <c r="B39" s="5" t="str">
        <f>"519720230522105453142316"</f>
        <v>519720230522105453142316</v>
      </c>
      <c r="C39" s="5" t="s">
        <v>9</v>
      </c>
      <c r="D39" s="5" t="str">
        <f t="shared" si="1"/>
        <v>0102</v>
      </c>
      <c r="E39" s="5" t="s">
        <v>11</v>
      </c>
      <c r="F39" s="5" t="str">
        <f>"叶小婕"</f>
        <v>叶小婕</v>
      </c>
      <c r="G39" s="5" t="str">
        <f t="shared" si="2"/>
        <v>女</v>
      </c>
      <c r="H39" s="5"/>
    </row>
    <row r="40" spans="1:8" ht="30" customHeight="1">
      <c r="A40" s="5">
        <v>38</v>
      </c>
      <c r="B40" s="5" t="str">
        <f>"519720230522162726142482"</f>
        <v>519720230522162726142482</v>
      </c>
      <c r="C40" s="5" t="s">
        <v>9</v>
      </c>
      <c r="D40" s="5" t="str">
        <f t="shared" si="1"/>
        <v>0102</v>
      </c>
      <c r="E40" s="5" t="s">
        <v>11</v>
      </c>
      <c r="F40" s="5" t="str">
        <f>"曾珊珊"</f>
        <v>曾珊珊</v>
      </c>
      <c r="G40" s="5" t="str">
        <f t="shared" si="2"/>
        <v>女</v>
      </c>
      <c r="H40" s="5"/>
    </row>
    <row r="41" spans="1:8" ht="30" customHeight="1">
      <c r="A41" s="5">
        <v>39</v>
      </c>
      <c r="B41" s="5" t="str">
        <f>"519720230522155834142460"</f>
        <v>519720230522155834142460</v>
      </c>
      <c r="C41" s="5" t="s">
        <v>9</v>
      </c>
      <c r="D41" s="5" t="str">
        <f t="shared" si="1"/>
        <v>0102</v>
      </c>
      <c r="E41" s="5" t="s">
        <v>11</v>
      </c>
      <c r="F41" s="5" t="str">
        <f>"彭瑞瑶"</f>
        <v>彭瑞瑶</v>
      </c>
      <c r="G41" s="5" t="str">
        <f t="shared" si="2"/>
        <v>女</v>
      </c>
      <c r="H41" s="5"/>
    </row>
    <row r="42" spans="1:8" ht="30" customHeight="1">
      <c r="A42" s="5">
        <v>40</v>
      </c>
      <c r="B42" s="5" t="str">
        <f>"519720230522154313142452"</f>
        <v>519720230522154313142452</v>
      </c>
      <c r="C42" s="5" t="s">
        <v>9</v>
      </c>
      <c r="D42" s="5" t="str">
        <f t="shared" si="1"/>
        <v>0102</v>
      </c>
      <c r="E42" s="5" t="s">
        <v>11</v>
      </c>
      <c r="F42" s="5" t="str">
        <f>"薛阿花"</f>
        <v>薛阿花</v>
      </c>
      <c r="G42" s="5" t="str">
        <f t="shared" si="2"/>
        <v>女</v>
      </c>
      <c r="H42" s="5"/>
    </row>
    <row r="43" spans="1:8" ht="30" customHeight="1">
      <c r="A43" s="5">
        <v>41</v>
      </c>
      <c r="B43" s="5" t="str">
        <f>"519720230522171124142509"</f>
        <v>519720230522171124142509</v>
      </c>
      <c r="C43" s="5" t="s">
        <v>9</v>
      </c>
      <c r="D43" s="5" t="str">
        <f t="shared" si="1"/>
        <v>0102</v>
      </c>
      <c r="E43" s="5" t="s">
        <v>11</v>
      </c>
      <c r="F43" s="5" t="str">
        <f>"李紫嫣"</f>
        <v>李紫嫣</v>
      </c>
      <c r="G43" s="5" t="str">
        <f t="shared" si="2"/>
        <v>女</v>
      </c>
      <c r="H43" s="5"/>
    </row>
    <row r="44" spans="1:8" ht="30" customHeight="1">
      <c r="A44" s="5">
        <v>42</v>
      </c>
      <c r="B44" s="5" t="str">
        <f>"519720230522141236142406"</f>
        <v>519720230522141236142406</v>
      </c>
      <c r="C44" s="5" t="s">
        <v>9</v>
      </c>
      <c r="D44" s="5" t="str">
        <f t="shared" si="1"/>
        <v>0102</v>
      </c>
      <c r="E44" s="5" t="s">
        <v>11</v>
      </c>
      <c r="F44" s="5" t="str">
        <f>"祁锐"</f>
        <v>祁锐</v>
      </c>
      <c r="G44" s="5" t="str">
        <f>"男"</f>
        <v>男</v>
      </c>
      <c r="H44" s="5"/>
    </row>
    <row r="45" spans="1:8" ht="30" customHeight="1">
      <c r="A45" s="5">
        <v>43</v>
      </c>
      <c r="B45" s="5" t="str">
        <f>"519720230522173422142518"</f>
        <v>519720230522173422142518</v>
      </c>
      <c r="C45" s="5" t="s">
        <v>9</v>
      </c>
      <c r="D45" s="5" t="str">
        <f t="shared" si="1"/>
        <v>0102</v>
      </c>
      <c r="E45" s="5" t="s">
        <v>11</v>
      </c>
      <c r="F45" s="5" t="str">
        <f>"吴海桂"</f>
        <v>吴海桂</v>
      </c>
      <c r="G45" s="5" t="str">
        <f>"女"</f>
        <v>女</v>
      </c>
      <c r="H45" s="5"/>
    </row>
    <row r="46" spans="1:8" ht="30" customHeight="1">
      <c r="A46" s="5">
        <v>44</v>
      </c>
      <c r="B46" s="5" t="str">
        <f>"519720230522165948142504"</f>
        <v>519720230522165948142504</v>
      </c>
      <c r="C46" s="5" t="s">
        <v>9</v>
      </c>
      <c r="D46" s="5" t="str">
        <f t="shared" si="1"/>
        <v>0102</v>
      </c>
      <c r="E46" s="5" t="s">
        <v>11</v>
      </c>
      <c r="F46" s="5" t="str">
        <f>"黄培培"</f>
        <v>黄培培</v>
      </c>
      <c r="G46" s="5" t="str">
        <f>"女"</f>
        <v>女</v>
      </c>
      <c r="H46" s="5"/>
    </row>
    <row r="47" spans="1:8" ht="30" customHeight="1">
      <c r="A47" s="5">
        <v>45</v>
      </c>
      <c r="B47" s="5" t="str">
        <f>"519720230522115117142360"</f>
        <v>519720230522115117142360</v>
      </c>
      <c r="C47" s="5" t="s">
        <v>9</v>
      </c>
      <c r="D47" s="5" t="str">
        <f t="shared" si="1"/>
        <v>0102</v>
      </c>
      <c r="E47" s="5" t="s">
        <v>11</v>
      </c>
      <c r="F47" s="5" t="str">
        <f>"王皓然"</f>
        <v>王皓然</v>
      </c>
      <c r="G47" s="5" t="str">
        <f>"男"</f>
        <v>男</v>
      </c>
      <c r="H47" s="5"/>
    </row>
    <row r="48" spans="1:8" ht="30" customHeight="1">
      <c r="A48" s="5">
        <v>46</v>
      </c>
      <c r="B48" s="5" t="str">
        <f>"519720230522170905142507"</f>
        <v>519720230522170905142507</v>
      </c>
      <c r="C48" s="5" t="s">
        <v>9</v>
      </c>
      <c r="D48" s="5" t="str">
        <f t="shared" si="1"/>
        <v>0102</v>
      </c>
      <c r="E48" s="5" t="s">
        <v>11</v>
      </c>
      <c r="F48" s="5" t="str">
        <f>"陈秋桦"</f>
        <v>陈秋桦</v>
      </c>
      <c r="G48" s="5" t="str">
        <f>"女"</f>
        <v>女</v>
      </c>
      <c r="H48" s="5"/>
    </row>
    <row r="49" spans="1:8" ht="30" customHeight="1">
      <c r="A49" s="5">
        <v>47</v>
      </c>
      <c r="B49" s="5" t="str">
        <f>"519720230522181825142538"</f>
        <v>519720230522181825142538</v>
      </c>
      <c r="C49" s="5" t="s">
        <v>9</v>
      </c>
      <c r="D49" s="5" t="str">
        <f t="shared" si="1"/>
        <v>0102</v>
      </c>
      <c r="E49" s="5" t="s">
        <v>11</v>
      </c>
      <c r="F49" s="5" t="str">
        <f>"谭邦雪"</f>
        <v>谭邦雪</v>
      </c>
      <c r="G49" s="5" t="str">
        <f>"女"</f>
        <v>女</v>
      </c>
      <c r="H49" s="5"/>
    </row>
    <row r="50" spans="1:8" ht="30" customHeight="1">
      <c r="A50" s="5">
        <v>48</v>
      </c>
      <c r="B50" s="5" t="str">
        <f>"519720230522180038142532"</f>
        <v>519720230522180038142532</v>
      </c>
      <c r="C50" s="5" t="s">
        <v>9</v>
      </c>
      <c r="D50" s="5" t="str">
        <f t="shared" si="1"/>
        <v>0102</v>
      </c>
      <c r="E50" s="5" t="s">
        <v>11</v>
      </c>
      <c r="F50" s="5" t="str">
        <f>"吴秋颜"</f>
        <v>吴秋颜</v>
      </c>
      <c r="G50" s="5" t="str">
        <f>"女"</f>
        <v>女</v>
      </c>
      <c r="H50" s="5"/>
    </row>
    <row r="51" spans="1:8" ht="30" customHeight="1">
      <c r="A51" s="5">
        <v>49</v>
      </c>
      <c r="B51" s="5" t="str">
        <f>"519720230522180004142531"</f>
        <v>519720230522180004142531</v>
      </c>
      <c r="C51" s="5" t="s">
        <v>9</v>
      </c>
      <c r="D51" s="5" t="str">
        <f t="shared" si="1"/>
        <v>0102</v>
      </c>
      <c r="E51" s="5" t="s">
        <v>11</v>
      </c>
      <c r="F51" s="5" t="str">
        <f>"徐辉宁"</f>
        <v>徐辉宁</v>
      </c>
      <c r="G51" s="5" t="str">
        <f>"男"</f>
        <v>男</v>
      </c>
      <c r="H51" s="5"/>
    </row>
    <row r="52" spans="1:8" ht="30" customHeight="1">
      <c r="A52" s="5">
        <v>50</v>
      </c>
      <c r="B52" s="5" t="str">
        <f>"519720230522144803142419"</f>
        <v>519720230522144803142419</v>
      </c>
      <c r="C52" s="5" t="s">
        <v>9</v>
      </c>
      <c r="D52" s="5" t="str">
        <f t="shared" si="1"/>
        <v>0102</v>
      </c>
      <c r="E52" s="5" t="s">
        <v>11</v>
      </c>
      <c r="F52" s="5" t="str">
        <f>"杨志灵"</f>
        <v>杨志灵</v>
      </c>
      <c r="G52" s="5" t="str">
        <f aca="true" t="shared" si="3" ref="G52:G59">"女"</f>
        <v>女</v>
      </c>
      <c r="H52" s="5"/>
    </row>
    <row r="53" spans="1:8" ht="30" customHeight="1">
      <c r="A53" s="5">
        <v>51</v>
      </c>
      <c r="B53" s="5" t="str">
        <f>"519720230522191625142550"</f>
        <v>519720230522191625142550</v>
      </c>
      <c r="C53" s="5" t="s">
        <v>9</v>
      </c>
      <c r="D53" s="5" t="str">
        <f t="shared" si="1"/>
        <v>0102</v>
      </c>
      <c r="E53" s="5" t="s">
        <v>11</v>
      </c>
      <c r="F53" s="5" t="str">
        <f>"刘咪"</f>
        <v>刘咪</v>
      </c>
      <c r="G53" s="5" t="str">
        <f t="shared" si="3"/>
        <v>女</v>
      </c>
      <c r="H53" s="5"/>
    </row>
    <row r="54" spans="1:8" ht="30" customHeight="1">
      <c r="A54" s="5">
        <v>52</v>
      </c>
      <c r="B54" s="5" t="str">
        <f>"519720230522201814142573"</f>
        <v>519720230522201814142573</v>
      </c>
      <c r="C54" s="5" t="s">
        <v>9</v>
      </c>
      <c r="D54" s="5" t="str">
        <f t="shared" si="1"/>
        <v>0102</v>
      </c>
      <c r="E54" s="5" t="s">
        <v>11</v>
      </c>
      <c r="F54" s="5" t="str">
        <f>"唐美郡"</f>
        <v>唐美郡</v>
      </c>
      <c r="G54" s="5" t="str">
        <f t="shared" si="3"/>
        <v>女</v>
      </c>
      <c r="H54" s="5"/>
    </row>
    <row r="55" spans="1:8" ht="30" customHeight="1">
      <c r="A55" s="5">
        <v>53</v>
      </c>
      <c r="B55" s="5" t="str">
        <f>"519720230522204230142583"</f>
        <v>519720230522204230142583</v>
      </c>
      <c r="C55" s="5" t="s">
        <v>9</v>
      </c>
      <c r="D55" s="5" t="str">
        <f t="shared" si="1"/>
        <v>0102</v>
      </c>
      <c r="E55" s="5" t="s">
        <v>11</v>
      </c>
      <c r="F55" s="5" t="str">
        <f>"侯乃鸾"</f>
        <v>侯乃鸾</v>
      </c>
      <c r="G55" s="5" t="str">
        <f t="shared" si="3"/>
        <v>女</v>
      </c>
      <c r="H55" s="5"/>
    </row>
    <row r="56" spans="1:8" ht="30" customHeight="1">
      <c r="A56" s="5">
        <v>54</v>
      </c>
      <c r="B56" s="5" t="str">
        <f>"519720230522150815142425"</f>
        <v>519720230522150815142425</v>
      </c>
      <c r="C56" s="5" t="s">
        <v>9</v>
      </c>
      <c r="D56" s="5" t="str">
        <f t="shared" si="1"/>
        <v>0102</v>
      </c>
      <c r="E56" s="5" t="s">
        <v>11</v>
      </c>
      <c r="F56" s="5" t="str">
        <f>"何书映"</f>
        <v>何书映</v>
      </c>
      <c r="G56" s="5" t="str">
        <f t="shared" si="3"/>
        <v>女</v>
      </c>
      <c r="H56" s="5"/>
    </row>
    <row r="57" spans="1:8" ht="30" customHeight="1">
      <c r="A57" s="5">
        <v>55</v>
      </c>
      <c r="B57" s="5" t="str">
        <f>"519720230522211025142595"</f>
        <v>519720230522211025142595</v>
      </c>
      <c r="C57" s="5" t="s">
        <v>9</v>
      </c>
      <c r="D57" s="5" t="str">
        <f t="shared" si="1"/>
        <v>0102</v>
      </c>
      <c r="E57" s="5" t="s">
        <v>11</v>
      </c>
      <c r="F57" s="5" t="str">
        <f>"陈金玉"</f>
        <v>陈金玉</v>
      </c>
      <c r="G57" s="5" t="str">
        <f t="shared" si="3"/>
        <v>女</v>
      </c>
      <c r="H57" s="5"/>
    </row>
    <row r="58" spans="1:8" ht="30" customHeight="1">
      <c r="A58" s="5">
        <v>56</v>
      </c>
      <c r="B58" s="5" t="str">
        <f>"519720230522213953142607"</f>
        <v>519720230522213953142607</v>
      </c>
      <c r="C58" s="5" t="s">
        <v>9</v>
      </c>
      <c r="D58" s="5" t="str">
        <f t="shared" si="1"/>
        <v>0102</v>
      </c>
      <c r="E58" s="5" t="s">
        <v>11</v>
      </c>
      <c r="F58" s="5" t="str">
        <f>"彭秀文"</f>
        <v>彭秀文</v>
      </c>
      <c r="G58" s="5" t="str">
        <f t="shared" si="3"/>
        <v>女</v>
      </c>
      <c r="H58" s="5"/>
    </row>
    <row r="59" spans="1:8" ht="30" customHeight="1">
      <c r="A59" s="5">
        <v>57</v>
      </c>
      <c r="B59" s="5" t="str">
        <f>"519720230522212042142597"</f>
        <v>519720230522212042142597</v>
      </c>
      <c r="C59" s="5" t="s">
        <v>9</v>
      </c>
      <c r="D59" s="5" t="str">
        <f t="shared" si="1"/>
        <v>0102</v>
      </c>
      <c r="E59" s="5" t="s">
        <v>11</v>
      </c>
      <c r="F59" s="5" t="str">
        <f>"钟晓悦"</f>
        <v>钟晓悦</v>
      </c>
      <c r="G59" s="5" t="str">
        <f t="shared" si="3"/>
        <v>女</v>
      </c>
      <c r="H59" s="5"/>
    </row>
    <row r="60" spans="1:8" ht="30" customHeight="1">
      <c r="A60" s="5">
        <v>58</v>
      </c>
      <c r="B60" s="5" t="str">
        <f>"519720230522214448142613"</f>
        <v>519720230522214448142613</v>
      </c>
      <c r="C60" s="5" t="s">
        <v>9</v>
      </c>
      <c r="D60" s="5" t="str">
        <f t="shared" si="1"/>
        <v>0102</v>
      </c>
      <c r="E60" s="5" t="s">
        <v>11</v>
      </c>
      <c r="F60" s="5" t="str">
        <f>"周谦红"</f>
        <v>周谦红</v>
      </c>
      <c r="G60" s="5" t="str">
        <f>"男"</f>
        <v>男</v>
      </c>
      <c r="H60" s="5"/>
    </row>
    <row r="61" spans="1:8" ht="30" customHeight="1">
      <c r="A61" s="5">
        <v>59</v>
      </c>
      <c r="B61" s="5" t="str">
        <f>"519720230522200723142568"</f>
        <v>519720230522200723142568</v>
      </c>
      <c r="C61" s="5" t="s">
        <v>9</v>
      </c>
      <c r="D61" s="5" t="str">
        <f t="shared" si="1"/>
        <v>0102</v>
      </c>
      <c r="E61" s="5" t="s">
        <v>11</v>
      </c>
      <c r="F61" s="5" t="str">
        <f>"徐哲正"</f>
        <v>徐哲正</v>
      </c>
      <c r="G61" s="5" t="str">
        <f>"男"</f>
        <v>男</v>
      </c>
      <c r="H61" s="5"/>
    </row>
    <row r="62" spans="1:8" ht="30" customHeight="1">
      <c r="A62" s="5">
        <v>60</v>
      </c>
      <c r="B62" s="5" t="str">
        <f>"519720230522213246142602"</f>
        <v>519720230522213246142602</v>
      </c>
      <c r="C62" s="5" t="s">
        <v>9</v>
      </c>
      <c r="D62" s="5" t="str">
        <f t="shared" si="1"/>
        <v>0102</v>
      </c>
      <c r="E62" s="5" t="s">
        <v>11</v>
      </c>
      <c r="F62" s="5" t="str">
        <f>"陈玉宝"</f>
        <v>陈玉宝</v>
      </c>
      <c r="G62" s="5" t="str">
        <f>"女"</f>
        <v>女</v>
      </c>
      <c r="H62" s="5"/>
    </row>
    <row r="63" spans="1:8" ht="30" customHeight="1">
      <c r="A63" s="5">
        <v>61</v>
      </c>
      <c r="B63" s="5" t="str">
        <f>"519720230522231010142634"</f>
        <v>519720230522231010142634</v>
      </c>
      <c r="C63" s="5" t="s">
        <v>9</v>
      </c>
      <c r="D63" s="5" t="str">
        <f t="shared" si="1"/>
        <v>0102</v>
      </c>
      <c r="E63" s="5" t="s">
        <v>11</v>
      </c>
      <c r="F63" s="5" t="str">
        <f>"符凯亮"</f>
        <v>符凯亮</v>
      </c>
      <c r="G63" s="5" t="str">
        <f>"男"</f>
        <v>男</v>
      </c>
      <c r="H63" s="5"/>
    </row>
    <row r="64" spans="1:8" ht="30" customHeight="1">
      <c r="A64" s="5">
        <v>62</v>
      </c>
      <c r="B64" s="5" t="str">
        <f>"519720230522231103142635"</f>
        <v>519720230522231103142635</v>
      </c>
      <c r="C64" s="5" t="s">
        <v>9</v>
      </c>
      <c r="D64" s="5" t="str">
        <f t="shared" si="1"/>
        <v>0102</v>
      </c>
      <c r="E64" s="5" t="s">
        <v>11</v>
      </c>
      <c r="F64" s="5" t="str">
        <f>"夏耀武"</f>
        <v>夏耀武</v>
      </c>
      <c r="G64" s="5" t="str">
        <f>"男"</f>
        <v>男</v>
      </c>
      <c r="H64" s="5"/>
    </row>
    <row r="65" spans="1:8" ht="30" customHeight="1">
      <c r="A65" s="5">
        <v>63</v>
      </c>
      <c r="B65" s="5" t="str">
        <f>"519720230522122429142373"</f>
        <v>519720230522122429142373</v>
      </c>
      <c r="C65" s="5" t="s">
        <v>9</v>
      </c>
      <c r="D65" s="5" t="str">
        <f t="shared" si="1"/>
        <v>0102</v>
      </c>
      <c r="E65" s="5" t="s">
        <v>11</v>
      </c>
      <c r="F65" s="5" t="str">
        <f>"王品熙"</f>
        <v>王品熙</v>
      </c>
      <c r="G65" s="5" t="str">
        <f>"男"</f>
        <v>男</v>
      </c>
      <c r="H65" s="5"/>
    </row>
    <row r="66" spans="1:8" ht="30" customHeight="1">
      <c r="A66" s="5">
        <v>64</v>
      </c>
      <c r="B66" s="5" t="str">
        <f>"519720230522151506142431"</f>
        <v>519720230522151506142431</v>
      </c>
      <c r="C66" s="5" t="s">
        <v>9</v>
      </c>
      <c r="D66" s="5" t="str">
        <f t="shared" si="1"/>
        <v>0102</v>
      </c>
      <c r="E66" s="5" t="s">
        <v>11</v>
      </c>
      <c r="F66" s="5" t="str">
        <f>"周士圆"</f>
        <v>周士圆</v>
      </c>
      <c r="G66" s="5" t="str">
        <f>"女"</f>
        <v>女</v>
      </c>
      <c r="H66" s="5"/>
    </row>
    <row r="67" spans="1:8" ht="30" customHeight="1">
      <c r="A67" s="5">
        <v>65</v>
      </c>
      <c r="B67" s="5" t="str">
        <f>"519720230522232806142638"</f>
        <v>519720230522232806142638</v>
      </c>
      <c r="C67" s="5" t="s">
        <v>9</v>
      </c>
      <c r="D67" s="5" t="str">
        <f t="shared" si="1"/>
        <v>0102</v>
      </c>
      <c r="E67" s="5" t="s">
        <v>11</v>
      </c>
      <c r="F67" s="5" t="str">
        <f>"李博雅"</f>
        <v>李博雅</v>
      </c>
      <c r="G67" s="5" t="str">
        <f>"女"</f>
        <v>女</v>
      </c>
      <c r="H67" s="5"/>
    </row>
    <row r="68" spans="1:8" ht="30" customHeight="1">
      <c r="A68" s="5">
        <v>66</v>
      </c>
      <c r="B68" s="5" t="str">
        <f>"519720230522165907142502"</f>
        <v>519720230522165907142502</v>
      </c>
      <c r="C68" s="5" t="s">
        <v>9</v>
      </c>
      <c r="D68" s="5" t="str">
        <f t="shared" si="1"/>
        <v>0102</v>
      </c>
      <c r="E68" s="5" t="s">
        <v>11</v>
      </c>
      <c r="F68" s="5" t="str">
        <f>"邢维纲"</f>
        <v>邢维纲</v>
      </c>
      <c r="G68" s="5" t="str">
        <f>"男"</f>
        <v>男</v>
      </c>
      <c r="H68" s="5"/>
    </row>
    <row r="69" spans="1:8" ht="30" customHeight="1">
      <c r="A69" s="5">
        <v>67</v>
      </c>
      <c r="B69" s="5" t="str">
        <f>"519720230522094058142260"</f>
        <v>519720230522094058142260</v>
      </c>
      <c r="C69" s="5" t="s">
        <v>9</v>
      </c>
      <c r="D69" s="5" t="str">
        <f t="shared" si="1"/>
        <v>0102</v>
      </c>
      <c r="E69" s="5" t="s">
        <v>11</v>
      </c>
      <c r="F69" s="5" t="str">
        <f>"王培"</f>
        <v>王培</v>
      </c>
      <c r="G69" s="5" t="str">
        <f>"女"</f>
        <v>女</v>
      </c>
      <c r="H69" s="5"/>
    </row>
    <row r="70" spans="1:8" ht="30" customHeight="1">
      <c r="A70" s="5">
        <v>68</v>
      </c>
      <c r="B70" s="5" t="str">
        <f>"519720230523073334142644"</f>
        <v>519720230523073334142644</v>
      </c>
      <c r="C70" s="5" t="s">
        <v>9</v>
      </c>
      <c r="D70" s="5" t="str">
        <f t="shared" si="1"/>
        <v>0102</v>
      </c>
      <c r="E70" s="5" t="s">
        <v>11</v>
      </c>
      <c r="F70" s="5" t="str">
        <f>"黄达鸣"</f>
        <v>黄达鸣</v>
      </c>
      <c r="G70" s="5" t="str">
        <f>"男"</f>
        <v>男</v>
      </c>
      <c r="H70" s="5"/>
    </row>
    <row r="71" spans="1:8" ht="30" customHeight="1">
      <c r="A71" s="5">
        <v>69</v>
      </c>
      <c r="B71" s="5" t="str">
        <f>"519720230523074405142645"</f>
        <v>519720230523074405142645</v>
      </c>
      <c r="C71" s="5" t="s">
        <v>9</v>
      </c>
      <c r="D71" s="5" t="str">
        <f t="shared" si="1"/>
        <v>0102</v>
      </c>
      <c r="E71" s="5" t="s">
        <v>11</v>
      </c>
      <c r="F71" s="5" t="str">
        <f>"陈慧"</f>
        <v>陈慧</v>
      </c>
      <c r="G71" s="5" t="str">
        <f>"女"</f>
        <v>女</v>
      </c>
      <c r="H71" s="5"/>
    </row>
    <row r="72" spans="1:8" ht="30" customHeight="1">
      <c r="A72" s="5">
        <v>70</v>
      </c>
      <c r="B72" s="5" t="str">
        <f>"519720230522194714142560"</f>
        <v>519720230522194714142560</v>
      </c>
      <c r="C72" s="5" t="s">
        <v>9</v>
      </c>
      <c r="D72" s="5" t="str">
        <f t="shared" si="1"/>
        <v>0102</v>
      </c>
      <c r="E72" s="5" t="s">
        <v>11</v>
      </c>
      <c r="F72" s="5" t="str">
        <f>"邢佳佳"</f>
        <v>邢佳佳</v>
      </c>
      <c r="G72" s="5" t="str">
        <f>"女"</f>
        <v>女</v>
      </c>
      <c r="H72" s="5"/>
    </row>
    <row r="73" spans="1:8" ht="30" customHeight="1">
      <c r="A73" s="5">
        <v>71</v>
      </c>
      <c r="B73" s="5" t="str">
        <f>"519720230523081451142650"</f>
        <v>519720230523081451142650</v>
      </c>
      <c r="C73" s="5" t="s">
        <v>9</v>
      </c>
      <c r="D73" s="5" t="str">
        <f t="shared" si="1"/>
        <v>0102</v>
      </c>
      <c r="E73" s="5" t="s">
        <v>11</v>
      </c>
      <c r="F73" s="5" t="str">
        <f>"王凌霄"</f>
        <v>王凌霄</v>
      </c>
      <c r="G73" s="5" t="str">
        <f>"男"</f>
        <v>男</v>
      </c>
      <c r="H73" s="5"/>
    </row>
    <row r="74" spans="1:8" ht="30" customHeight="1">
      <c r="A74" s="5">
        <v>72</v>
      </c>
      <c r="B74" s="5" t="str">
        <f>"519720230523084056142655"</f>
        <v>519720230523084056142655</v>
      </c>
      <c r="C74" s="5" t="s">
        <v>9</v>
      </c>
      <c r="D74" s="5" t="str">
        <f t="shared" si="1"/>
        <v>0102</v>
      </c>
      <c r="E74" s="5" t="s">
        <v>11</v>
      </c>
      <c r="F74" s="5" t="str">
        <f>"卓小娜"</f>
        <v>卓小娜</v>
      </c>
      <c r="G74" s="5" t="str">
        <f>"女"</f>
        <v>女</v>
      </c>
      <c r="H74" s="5"/>
    </row>
    <row r="75" spans="1:8" ht="30" customHeight="1">
      <c r="A75" s="5">
        <v>73</v>
      </c>
      <c r="B75" s="5" t="str">
        <f>"519720230522194613142558"</f>
        <v>519720230522194613142558</v>
      </c>
      <c r="C75" s="5" t="s">
        <v>9</v>
      </c>
      <c r="D75" s="5" t="str">
        <f t="shared" si="1"/>
        <v>0102</v>
      </c>
      <c r="E75" s="5" t="s">
        <v>11</v>
      </c>
      <c r="F75" s="5" t="str">
        <f>"宋晓凤"</f>
        <v>宋晓凤</v>
      </c>
      <c r="G75" s="5" t="str">
        <f>"女"</f>
        <v>女</v>
      </c>
      <c r="H75" s="5"/>
    </row>
    <row r="76" spans="1:8" ht="30" customHeight="1">
      <c r="A76" s="5">
        <v>74</v>
      </c>
      <c r="B76" s="5" t="str">
        <f>"519720230522101405142290"</f>
        <v>519720230522101405142290</v>
      </c>
      <c r="C76" s="5" t="s">
        <v>9</v>
      </c>
      <c r="D76" s="5" t="str">
        <f t="shared" si="1"/>
        <v>0102</v>
      </c>
      <c r="E76" s="5" t="s">
        <v>11</v>
      </c>
      <c r="F76" s="5" t="str">
        <f>"孙佳华"</f>
        <v>孙佳华</v>
      </c>
      <c r="G76" s="5" t="str">
        <f>"女"</f>
        <v>女</v>
      </c>
      <c r="H76" s="5"/>
    </row>
    <row r="77" spans="1:8" ht="30" customHeight="1">
      <c r="A77" s="5">
        <v>75</v>
      </c>
      <c r="B77" s="5" t="str">
        <f>"519720230523090816142658"</f>
        <v>519720230523090816142658</v>
      </c>
      <c r="C77" s="5" t="s">
        <v>9</v>
      </c>
      <c r="D77" s="5" t="str">
        <f aca="true" t="shared" si="4" ref="D77:D140">"0102"</f>
        <v>0102</v>
      </c>
      <c r="E77" s="5" t="s">
        <v>11</v>
      </c>
      <c r="F77" s="5" t="str">
        <f>"刘珊珊"</f>
        <v>刘珊珊</v>
      </c>
      <c r="G77" s="5" t="str">
        <f>"女"</f>
        <v>女</v>
      </c>
      <c r="H77" s="5"/>
    </row>
    <row r="78" spans="1:8" ht="30" customHeight="1">
      <c r="A78" s="5">
        <v>76</v>
      </c>
      <c r="B78" s="5" t="str">
        <f>"519720230523091743142663"</f>
        <v>519720230523091743142663</v>
      </c>
      <c r="C78" s="5" t="s">
        <v>9</v>
      </c>
      <c r="D78" s="5" t="str">
        <f t="shared" si="4"/>
        <v>0102</v>
      </c>
      <c r="E78" s="5" t="s">
        <v>11</v>
      </c>
      <c r="F78" s="5" t="str">
        <f>"吉雪花"</f>
        <v>吉雪花</v>
      </c>
      <c r="G78" s="5" t="str">
        <f>"女"</f>
        <v>女</v>
      </c>
      <c r="H78" s="5"/>
    </row>
    <row r="79" spans="1:8" ht="30" customHeight="1">
      <c r="A79" s="5">
        <v>77</v>
      </c>
      <c r="B79" s="5" t="str">
        <f>"519720230523093942142674"</f>
        <v>519720230523093942142674</v>
      </c>
      <c r="C79" s="5" t="s">
        <v>9</v>
      </c>
      <c r="D79" s="5" t="str">
        <f t="shared" si="4"/>
        <v>0102</v>
      </c>
      <c r="E79" s="5" t="s">
        <v>11</v>
      </c>
      <c r="F79" s="5" t="str">
        <f>"范文"</f>
        <v>范文</v>
      </c>
      <c r="G79" s="5" t="str">
        <f>"男"</f>
        <v>男</v>
      </c>
      <c r="H79" s="5"/>
    </row>
    <row r="80" spans="1:8" ht="30" customHeight="1">
      <c r="A80" s="5">
        <v>78</v>
      </c>
      <c r="B80" s="5" t="str">
        <f>"519720230523091551142662"</f>
        <v>519720230523091551142662</v>
      </c>
      <c r="C80" s="5" t="s">
        <v>9</v>
      </c>
      <c r="D80" s="5" t="str">
        <f t="shared" si="4"/>
        <v>0102</v>
      </c>
      <c r="E80" s="5" t="s">
        <v>11</v>
      </c>
      <c r="F80" s="5" t="str">
        <f>"冯洁莹"</f>
        <v>冯洁莹</v>
      </c>
      <c r="G80" s="5" t="str">
        <f>"女"</f>
        <v>女</v>
      </c>
      <c r="H80" s="5"/>
    </row>
    <row r="81" spans="1:8" ht="30" customHeight="1">
      <c r="A81" s="5">
        <v>79</v>
      </c>
      <c r="B81" s="5" t="str">
        <f>"519720230523094907142681"</f>
        <v>519720230523094907142681</v>
      </c>
      <c r="C81" s="5" t="s">
        <v>9</v>
      </c>
      <c r="D81" s="5" t="str">
        <f t="shared" si="4"/>
        <v>0102</v>
      </c>
      <c r="E81" s="5" t="s">
        <v>11</v>
      </c>
      <c r="F81" s="5" t="str">
        <f>"黄龙云"</f>
        <v>黄龙云</v>
      </c>
      <c r="G81" s="5" t="str">
        <f>"女"</f>
        <v>女</v>
      </c>
      <c r="H81" s="5"/>
    </row>
    <row r="82" spans="1:8" ht="30" customHeight="1">
      <c r="A82" s="5">
        <v>80</v>
      </c>
      <c r="B82" s="5" t="str">
        <f>"519720230523091924142664"</f>
        <v>519720230523091924142664</v>
      </c>
      <c r="C82" s="5" t="s">
        <v>9</v>
      </c>
      <c r="D82" s="5" t="str">
        <f t="shared" si="4"/>
        <v>0102</v>
      </c>
      <c r="E82" s="5" t="s">
        <v>11</v>
      </c>
      <c r="F82" s="5" t="str">
        <f>"邓婉婷"</f>
        <v>邓婉婷</v>
      </c>
      <c r="G82" s="5" t="str">
        <f>"女"</f>
        <v>女</v>
      </c>
      <c r="H82" s="5"/>
    </row>
    <row r="83" spans="1:8" ht="30" customHeight="1">
      <c r="A83" s="5">
        <v>81</v>
      </c>
      <c r="B83" s="5" t="str">
        <f>"519720230522155616142459"</f>
        <v>519720230522155616142459</v>
      </c>
      <c r="C83" s="5" t="s">
        <v>9</v>
      </c>
      <c r="D83" s="5" t="str">
        <f t="shared" si="4"/>
        <v>0102</v>
      </c>
      <c r="E83" s="5" t="s">
        <v>11</v>
      </c>
      <c r="F83" s="5" t="str">
        <f>"吴梅花"</f>
        <v>吴梅花</v>
      </c>
      <c r="G83" s="5" t="str">
        <f>"女"</f>
        <v>女</v>
      </c>
      <c r="H83" s="5"/>
    </row>
    <row r="84" spans="1:8" ht="30" customHeight="1">
      <c r="A84" s="5">
        <v>82</v>
      </c>
      <c r="B84" s="5" t="str">
        <f>"519720230522105208142312"</f>
        <v>519720230522105208142312</v>
      </c>
      <c r="C84" s="5" t="s">
        <v>9</v>
      </c>
      <c r="D84" s="5" t="str">
        <f t="shared" si="4"/>
        <v>0102</v>
      </c>
      <c r="E84" s="5" t="s">
        <v>11</v>
      </c>
      <c r="F84" s="5" t="str">
        <f>"苏泳芝"</f>
        <v>苏泳芝</v>
      </c>
      <c r="G84" s="5" t="str">
        <f>"女"</f>
        <v>女</v>
      </c>
      <c r="H84" s="5"/>
    </row>
    <row r="85" spans="1:8" ht="30" customHeight="1">
      <c r="A85" s="5">
        <v>83</v>
      </c>
      <c r="B85" s="5" t="str">
        <f>"519720230522201750142571"</f>
        <v>519720230522201750142571</v>
      </c>
      <c r="C85" s="5" t="s">
        <v>9</v>
      </c>
      <c r="D85" s="5" t="str">
        <f t="shared" si="4"/>
        <v>0102</v>
      </c>
      <c r="E85" s="5" t="s">
        <v>11</v>
      </c>
      <c r="F85" s="5" t="str">
        <f>"王韵凯"</f>
        <v>王韵凯</v>
      </c>
      <c r="G85" s="5" t="str">
        <f>"男"</f>
        <v>男</v>
      </c>
      <c r="H85" s="5"/>
    </row>
    <row r="86" spans="1:8" ht="30" customHeight="1">
      <c r="A86" s="5">
        <v>84</v>
      </c>
      <c r="B86" s="5" t="str">
        <f>"519720230523103508142704"</f>
        <v>519720230523103508142704</v>
      </c>
      <c r="C86" s="5" t="s">
        <v>9</v>
      </c>
      <c r="D86" s="5" t="str">
        <f t="shared" si="4"/>
        <v>0102</v>
      </c>
      <c r="E86" s="5" t="s">
        <v>11</v>
      </c>
      <c r="F86" s="5" t="str">
        <f>"黄慈琳"</f>
        <v>黄慈琳</v>
      </c>
      <c r="G86" s="5" t="str">
        <f>"女"</f>
        <v>女</v>
      </c>
      <c r="H86" s="5"/>
    </row>
    <row r="87" spans="1:8" ht="30" customHeight="1">
      <c r="A87" s="5">
        <v>85</v>
      </c>
      <c r="B87" s="5" t="str">
        <f>"519720230523113826142731"</f>
        <v>519720230523113826142731</v>
      </c>
      <c r="C87" s="5" t="s">
        <v>9</v>
      </c>
      <c r="D87" s="5" t="str">
        <f t="shared" si="4"/>
        <v>0102</v>
      </c>
      <c r="E87" s="5" t="s">
        <v>11</v>
      </c>
      <c r="F87" s="5" t="str">
        <f>"龙倩倩"</f>
        <v>龙倩倩</v>
      </c>
      <c r="G87" s="5" t="str">
        <f>"女"</f>
        <v>女</v>
      </c>
      <c r="H87" s="5"/>
    </row>
    <row r="88" spans="1:8" ht="30" customHeight="1">
      <c r="A88" s="5">
        <v>86</v>
      </c>
      <c r="B88" s="5" t="str">
        <f>"519720230523123841142743"</f>
        <v>519720230523123841142743</v>
      </c>
      <c r="C88" s="5" t="s">
        <v>9</v>
      </c>
      <c r="D88" s="5" t="str">
        <f t="shared" si="4"/>
        <v>0102</v>
      </c>
      <c r="E88" s="5" t="s">
        <v>11</v>
      </c>
      <c r="F88" s="5" t="str">
        <f>"王春娇"</f>
        <v>王春娇</v>
      </c>
      <c r="G88" s="5" t="str">
        <f>"女"</f>
        <v>女</v>
      </c>
      <c r="H88" s="5"/>
    </row>
    <row r="89" spans="1:8" ht="30" customHeight="1">
      <c r="A89" s="5">
        <v>87</v>
      </c>
      <c r="B89" s="5" t="str">
        <f>"519720230523135533142759"</f>
        <v>519720230523135533142759</v>
      </c>
      <c r="C89" s="5" t="s">
        <v>9</v>
      </c>
      <c r="D89" s="5" t="str">
        <f t="shared" si="4"/>
        <v>0102</v>
      </c>
      <c r="E89" s="5" t="s">
        <v>11</v>
      </c>
      <c r="F89" s="5" t="str">
        <f>"侯道帆"</f>
        <v>侯道帆</v>
      </c>
      <c r="G89" s="5" t="str">
        <f>"男"</f>
        <v>男</v>
      </c>
      <c r="H89" s="5"/>
    </row>
    <row r="90" spans="1:8" ht="30" customHeight="1">
      <c r="A90" s="5">
        <v>88</v>
      </c>
      <c r="B90" s="5" t="str">
        <f>"519720230522120129142363"</f>
        <v>519720230522120129142363</v>
      </c>
      <c r="C90" s="5" t="s">
        <v>9</v>
      </c>
      <c r="D90" s="5" t="str">
        <f t="shared" si="4"/>
        <v>0102</v>
      </c>
      <c r="E90" s="5" t="s">
        <v>11</v>
      </c>
      <c r="F90" s="5" t="str">
        <f>"郑雨欣"</f>
        <v>郑雨欣</v>
      </c>
      <c r="G90" s="5" t="str">
        <f>"女"</f>
        <v>女</v>
      </c>
      <c r="H90" s="5"/>
    </row>
    <row r="91" spans="1:8" ht="30" customHeight="1">
      <c r="A91" s="5">
        <v>89</v>
      </c>
      <c r="B91" s="5" t="str">
        <f>"519720230522152603142439"</f>
        <v>519720230522152603142439</v>
      </c>
      <c r="C91" s="5" t="s">
        <v>9</v>
      </c>
      <c r="D91" s="5" t="str">
        <f t="shared" si="4"/>
        <v>0102</v>
      </c>
      <c r="E91" s="5" t="s">
        <v>11</v>
      </c>
      <c r="F91" s="5" t="str">
        <f>"李晟尧"</f>
        <v>李晟尧</v>
      </c>
      <c r="G91" s="5" t="str">
        <f>"男"</f>
        <v>男</v>
      </c>
      <c r="H91" s="5"/>
    </row>
    <row r="92" spans="1:8" ht="30" customHeight="1">
      <c r="A92" s="5">
        <v>90</v>
      </c>
      <c r="B92" s="5" t="str">
        <f>"519720230522095725142267"</f>
        <v>519720230522095725142267</v>
      </c>
      <c r="C92" s="5" t="s">
        <v>9</v>
      </c>
      <c r="D92" s="5" t="str">
        <f t="shared" si="4"/>
        <v>0102</v>
      </c>
      <c r="E92" s="5" t="s">
        <v>11</v>
      </c>
      <c r="F92" s="5" t="str">
        <f>"黄海莹"</f>
        <v>黄海莹</v>
      </c>
      <c r="G92" s="5" t="str">
        <f aca="true" t="shared" si="5" ref="G92:G98">"女"</f>
        <v>女</v>
      </c>
      <c r="H92" s="5"/>
    </row>
    <row r="93" spans="1:8" ht="30" customHeight="1">
      <c r="A93" s="5">
        <v>91</v>
      </c>
      <c r="B93" s="5" t="str">
        <f>"519720230523152143142781"</f>
        <v>519720230523152143142781</v>
      </c>
      <c r="C93" s="5" t="s">
        <v>9</v>
      </c>
      <c r="D93" s="5" t="str">
        <f t="shared" si="4"/>
        <v>0102</v>
      </c>
      <c r="E93" s="5" t="s">
        <v>11</v>
      </c>
      <c r="F93" s="5" t="str">
        <f>"单小芬"</f>
        <v>单小芬</v>
      </c>
      <c r="G93" s="5" t="str">
        <f t="shared" si="5"/>
        <v>女</v>
      </c>
      <c r="H93" s="5"/>
    </row>
    <row r="94" spans="1:8" ht="30" customHeight="1">
      <c r="A94" s="5">
        <v>92</v>
      </c>
      <c r="B94" s="5" t="str">
        <f>"519720230523152450142784"</f>
        <v>519720230523152450142784</v>
      </c>
      <c r="C94" s="5" t="s">
        <v>9</v>
      </c>
      <c r="D94" s="5" t="str">
        <f t="shared" si="4"/>
        <v>0102</v>
      </c>
      <c r="E94" s="5" t="s">
        <v>11</v>
      </c>
      <c r="F94" s="5" t="str">
        <f>"屈春花"</f>
        <v>屈春花</v>
      </c>
      <c r="G94" s="5" t="str">
        <f t="shared" si="5"/>
        <v>女</v>
      </c>
      <c r="H94" s="5"/>
    </row>
    <row r="95" spans="1:8" ht="30" customHeight="1">
      <c r="A95" s="5">
        <v>93</v>
      </c>
      <c r="B95" s="5" t="str">
        <f>"519720230522114152142352"</f>
        <v>519720230522114152142352</v>
      </c>
      <c r="C95" s="5" t="s">
        <v>9</v>
      </c>
      <c r="D95" s="5" t="str">
        <f t="shared" si="4"/>
        <v>0102</v>
      </c>
      <c r="E95" s="5" t="s">
        <v>11</v>
      </c>
      <c r="F95" s="5" t="str">
        <f>"袁美瑜"</f>
        <v>袁美瑜</v>
      </c>
      <c r="G95" s="5" t="str">
        <f t="shared" si="5"/>
        <v>女</v>
      </c>
      <c r="H95" s="5"/>
    </row>
    <row r="96" spans="1:8" ht="30" customHeight="1">
      <c r="A96" s="5">
        <v>94</v>
      </c>
      <c r="B96" s="5" t="str">
        <f>"519720230523144544142769"</f>
        <v>519720230523144544142769</v>
      </c>
      <c r="C96" s="5" t="s">
        <v>9</v>
      </c>
      <c r="D96" s="5" t="str">
        <f t="shared" si="4"/>
        <v>0102</v>
      </c>
      <c r="E96" s="5" t="s">
        <v>11</v>
      </c>
      <c r="F96" s="5" t="str">
        <f>"孙法婷"</f>
        <v>孙法婷</v>
      </c>
      <c r="G96" s="5" t="str">
        <f t="shared" si="5"/>
        <v>女</v>
      </c>
      <c r="H96" s="5"/>
    </row>
    <row r="97" spans="1:8" ht="30" customHeight="1">
      <c r="A97" s="5">
        <v>95</v>
      </c>
      <c r="B97" s="5" t="str">
        <f>"519720230523161611142807"</f>
        <v>519720230523161611142807</v>
      </c>
      <c r="C97" s="5" t="s">
        <v>9</v>
      </c>
      <c r="D97" s="5" t="str">
        <f t="shared" si="4"/>
        <v>0102</v>
      </c>
      <c r="E97" s="5" t="s">
        <v>11</v>
      </c>
      <c r="F97" s="5" t="str">
        <f>"林明慧"</f>
        <v>林明慧</v>
      </c>
      <c r="G97" s="5" t="str">
        <f t="shared" si="5"/>
        <v>女</v>
      </c>
      <c r="H97" s="5"/>
    </row>
    <row r="98" spans="1:8" ht="30" customHeight="1">
      <c r="A98" s="5">
        <v>96</v>
      </c>
      <c r="B98" s="5" t="str">
        <f>"519720230523155925142798"</f>
        <v>519720230523155925142798</v>
      </c>
      <c r="C98" s="5" t="s">
        <v>9</v>
      </c>
      <c r="D98" s="5" t="str">
        <f t="shared" si="4"/>
        <v>0102</v>
      </c>
      <c r="E98" s="5" t="s">
        <v>11</v>
      </c>
      <c r="F98" s="5" t="str">
        <f>"王琳"</f>
        <v>王琳</v>
      </c>
      <c r="G98" s="5" t="str">
        <f t="shared" si="5"/>
        <v>女</v>
      </c>
      <c r="H98" s="5"/>
    </row>
    <row r="99" spans="1:8" ht="30" customHeight="1">
      <c r="A99" s="5">
        <v>97</v>
      </c>
      <c r="B99" s="5" t="str">
        <f>"519720230523164758142821"</f>
        <v>519720230523164758142821</v>
      </c>
      <c r="C99" s="5" t="s">
        <v>9</v>
      </c>
      <c r="D99" s="5" t="str">
        <f t="shared" si="4"/>
        <v>0102</v>
      </c>
      <c r="E99" s="5" t="s">
        <v>11</v>
      </c>
      <c r="F99" s="5" t="str">
        <f>"王腾毅"</f>
        <v>王腾毅</v>
      </c>
      <c r="G99" s="5" t="str">
        <f>"男"</f>
        <v>男</v>
      </c>
      <c r="H99" s="5"/>
    </row>
    <row r="100" spans="1:8" ht="30" customHeight="1">
      <c r="A100" s="5">
        <v>98</v>
      </c>
      <c r="B100" s="5" t="str">
        <f>"519720230523160934142805"</f>
        <v>519720230523160934142805</v>
      </c>
      <c r="C100" s="5" t="s">
        <v>9</v>
      </c>
      <c r="D100" s="5" t="str">
        <f t="shared" si="4"/>
        <v>0102</v>
      </c>
      <c r="E100" s="5" t="s">
        <v>11</v>
      </c>
      <c r="F100" s="5" t="str">
        <f>"林坤"</f>
        <v>林坤</v>
      </c>
      <c r="G100" s="5" t="str">
        <f>"男"</f>
        <v>男</v>
      </c>
      <c r="H100" s="5"/>
    </row>
    <row r="101" spans="1:8" ht="30" customHeight="1">
      <c r="A101" s="5">
        <v>99</v>
      </c>
      <c r="B101" s="5" t="str">
        <f>"519720230523172310142834"</f>
        <v>519720230523172310142834</v>
      </c>
      <c r="C101" s="5" t="s">
        <v>9</v>
      </c>
      <c r="D101" s="5" t="str">
        <f t="shared" si="4"/>
        <v>0102</v>
      </c>
      <c r="E101" s="5" t="s">
        <v>11</v>
      </c>
      <c r="F101" s="5" t="str">
        <f>"陈佳敏"</f>
        <v>陈佳敏</v>
      </c>
      <c r="G101" s="5" t="str">
        <f aca="true" t="shared" si="6" ref="G101:G106">"女"</f>
        <v>女</v>
      </c>
      <c r="H101" s="5"/>
    </row>
    <row r="102" spans="1:8" ht="30" customHeight="1">
      <c r="A102" s="5">
        <v>100</v>
      </c>
      <c r="B102" s="5" t="str">
        <f>"519720230523170059142826"</f>
        <v>519720230523170059142826</v>
      </c>
      <c r="C102" s="5" t="s">
        <v>9</v>
      </c>
      <c r="D102" s="5" t="str">
        <f t="shared" si="4"/>
        <v>0102</v>
      </c>
      <c r="E102" s="5" t="s">
        <v>11</v>
      </c>
      <c r="F102" s="5" t="str">
        <f>"林慧敏"</f>
        <v>林慧敏</v>
      </c>
      <c r="G102" s="5" t="str">
        <f t="shared" si="6"/>
        <v>女</v>
      </c>
      <c r="H102" s="5"/>
    </row>
    <row r="103" spans="1:8" ht="30" customHeight="1">
      <c r="A103" s="5">
        <v>101</v>
      </c>
      <c r="B103" s="5" t="str">
        <f>"519720230523174331142844"</f>
        <v>519720230523174331142844</v>
      </c>
      <c r="C103" s="5" t="s">
        <v>9</v>
      </c>
      <c r="D103" s="5" t="str">
        <f t="shared" si="4"/>
        <v>0102</v>
      </c>
      <c r="E103" s="5" t="s">
        <v>11</v>
      </c>
      <c r="F103" s="5" t="str">
        <f>"吴雅倩"</f>
        <v>吴雅倩</v>
      </c>
      <c r="G103" s="5" t="str">
        <f t="shared" si="6"/>
        <v>女</v>
      </c>
      <c r="H103" s="5"/>
    </row>
    <row r="104" spans="1:8" ht="30" customHeight="1">
      <c r="A104" s="5">
        <v>102</v>
      </c>
      <c r="B104" s="5" t="str">
        <f>"519720230523180329142848"</f>
        <v>519720230523180329142848</v>
      </c>
      <c r="C104" s="5" t="s">
        <v>9</v>
      </c>
      <c r="D104" s="5" t="str">
        <f t="shared" si="4"/>
        <v>0102</v>
      </c>
      <c r="E104" s="5" t="s">
        <v>11</v>
      </c>
      <c r="F104" s="5" t="str">
        <f>"陈雯"</f>
        <v>陈雯</v>
      </c>
      <c r="G104" s="5" t="str">
        <f t="shared" si="6"/>
        <v>女</v>
      </c>
      <c r="H104" s="5"/>
    </row>
    <row r="105" spans="1:8" ht="30" customHeight="1">
      <c r="A105" s="5">
        <v>103</v>
      </c>
      <c r="B105" s="5" t="str">
        <f>"519720230522205326142587"</f>
        <v>519720230522205326142587</v>
      </c>
      <c r="C105" s="5" t="s">
        <v>9</v>
      </c>
      <c r="D105" s="5" t="str">
        <f t="shared" si="4"/>
        <v>0102</v>
      </c>
      <c r="E105" s="5" t="s">
        <v>11</v>
      </c>
      <c r="F105" s="5" t="str">
        <f>"谢芫璟"</f>
        <v>谢芫璟</v>
      </c>
      <c r="G105" s="5" t="str">
        <f t="shared" si="6"/>
        <v>女</v>
      </c>
      <c r="H105" s="5"/>
    </row>
    <row r="106" spans="1:8" ht="30" customHeight="1">
      <c r="A106" s="5">
        <v>104</v>
      </c>
      <c r="B106" s="5" t="str">
        <f>"519720230522165945142503"</f>
        <v>519720230522165945142503</v>
      </c>
      <c r="C106" s="5" t="s">
        <v>9</v>
      </c>
      <c r="D106" s="5" t="str">
        <f t="shared" si="4"/>
        <v>0102</v>
      </c>
      <c r="E106" s="5" t="s">
        <v>11</v>
      </c>
      <c r="F106" s="5" t="str">
        <f>"黄子倩"</f>
        <v>黄子倩</v>
      </c>
      <c r="G106" s="5" t="str">
        <f t="shared" si="6"/>
        <v>女</v>
      </c>
      <c r="H106" s="5"/>
    </row>
    <row r="107" spans="1:8" ht="30" customHeight="1">
      <c r="A107" s="5">
        <v>105</v>
      </c>
      <c r="B107" s="5" t="str">
        <f>"519720230522183648142542"</f>
        <v>519720230522183648142542</v>
      </c>
      <c r="C107" s="5" t="s">
        <v>9</v>
      </c>
      <c r="D107" s="5" t="str">
        <f t="shared" si="4"/>
        <v>0102</v>
      </c>
      <c r="E107" s="5" t="s">
        <v>11</v>
      </c>
      <c r="F107" s="5" t="str">
        <f>"林正轩"</f>
        <v>林正轩</v>
      </c>
      <c r="G107" s="5" t="str">
        <f>"男"</f>
        <v>男</v>
      </c>
      <c r="H107" s="5"/>
    </row>
    <row r="108" spans="1:8" ht="30" customHeight="1">
      <c r="A108" s="5">
        <v>106</v>
      </c>
      <c r="B108" s="5" t="str">
        <f>"519720230523190124142867"</f>
        <v>519720230523190124142867</v>
      </c>
      <c r="C108" s="5" t="s">
        <v>9</v>
      </c>
      <c r="D108" s="5" t="str">
        <f t="shared" si="4"/>
        <v>0102</v>
      </c>
      <c r="E108" s="5" t="s">
        <v>11</v>
      </c>
      <c r="F108" s="5" t="str">
        <f>"符达基"</f>
        <v>符达基</v>
      </c>
      <c r="G108" s="5" t="str">
        <f>"女"</f>
        <v>女</v>
      </c>
      <c r="H108" s="5"/>
    </row>
    <row r="109" spans="1:8" ht="30" customHeight="1">
      <c r="A109" s="5">
        <v>107</v>
      </c>
      <c r="B109" s="5" t="str">
        <f>"519720230523184347142863"</f>
        <v>519720230523184347142863</v>
      </c>
      <c r="C109" s="5" t="s">
        <v>9</v>
      </c>
      <c r="D109" s="5" t="str">
        <f t="shared" si="4"/>
        <v>0102</v>
      </c>
      <c r="E109" s="5" t="s">
        <v>11</v>
      </c>
      <c r="F109" s="5" t="str">
        <f>"刘道桔"</f>
        <v>刘道桔</v>
      </c>
      <c r="G109" s="5" t="str">
        <f>"男"</f>
        <v>男</v>
      </c>
      <c r="H109" s="5"/>
    </row>
    <row r="110" spans="1:8" ht="30" customHeight="1">
      <c r="A110" s="5">
        <v>108</v>
      </c>
      <c r="B110" s="5" t="str">
        <f>"519720230523075251142647"</f>
        <v>519720230523075251142647</v>
      </c>
      <c r="C110" s="5" t="s">
        <v>9</v>
      </c>
      <c r="D110" s="5" t="str">
        <f t="shared" si="4"/>
        <v>0102</v>
      </c>
      <c r="E110" s="5" t="s">
        <v>11</v>
      </c>
      <c r="F110" s="5" t="str">
        <f>"谢秋池"</f>
        <v>谢秋池</v>
      </c>
      <c r="G110" s="5" t="str">
        <f aca="true" t="shared" si="7" ref="G110:G121">"女"</f>
        <v>女</v>
      </c>
      <c r="H110" s="5"/>
    </row>
    <row r="111" spans="1:8" ht="30" customHeight="1">
      <c r="A111" s="5">
        <v>109</v>
      </c>
      <c r="B111" s="5" t="str">
        <f>"519720230523181215142852"</f>
        <v>519720230523181215142852</v>
      </c>
      <c r="C111" s="5" t="s">
        <v>9</v>
      </c>
      <c r="D111" s="5" t="str">
        <f t="shared" si="4"/>
        <v>0102</v>
      </c>
      <c r="E111" s="5" t="s">
        <v>11</v>
      </c>
      <c r="F111" s="5" t="str">
        <f>"李基娜"</f>
        <v>李基娜</v>
      </c>
      <c r="G111" s="5" t="str">
        <f t="shared" si="7"/>
        <v>女</v>
      </c>
      <c r="H111" s="5"/>
    </row>
    <row r="112" spans="1:8" ht="30" customHeight="1">
      <c r="A112" s="5">
        <v>110</v>
      </c>
      <c r="B112" s="5" t="str">
        <f>"519720230523191107142869"</f>
        <v>519720230523191107142869</v>
      </c>
      <c r="C112" s="5" t="s">
        <v>9</v>
      </c>
      <c r="D112" s="5" t="str">
        <f t="shared" si="4"/>
        <v>0102</v>
      </c>
      <c r="E112" s="5" t="s">
        <v>11</v>
      </c>
      <c r="F112" s="5" t="str">
        <f>"叶丁瑜"</f>
        <v>叶丁瑜</v>
      </c>
      <c r="G112" s="5" t="str">
        <f t="shared" si="7"/>
        <v>女</v>
      </c>
      <c r="H112" s="5"/>
    </row>
    <row r="113" spans="1:8" ht="30" customHeight="1">
      <c r="A113" s="5">
        <v>111</v>
      </c>
      <c r="B113" s="5" t="str">
        <f>"519720230523192309142870"</f>
        <v>519720230523192309142870</v>
      </c>
      <c r="C113" s="5" t="s">
        <v>9</v>
      </c>
      <c r="D113" s="5" t="str">
        <f t="shared" si="4"/>
        <v>0102</v>
      </c>
      <c r="E113" s="5" t="s">
        <v>11</v>
      </c>
      <c r="F113" s="5" t="str">
        <f>"云璐"</f>
        <v>云璐</v>
      </c>
      <c r="G113" s="5" t="str">
        <f t="shared" si="7"/>
        <v>女</v>
      </c>
      <c r="H113" s="5"/>
    </row>
    <row r="114" spans="1:8" ht="30" customHeight="1">
      <c r="A114" s="5">
        <v>112</v>
      </c>
      <c r="B114" s="5" t="str">
        <f>"519720230523185743142865"</f>
        <v>519720230523185743142865</v>
      </c>
      <c r="C114" s="5" t="s">
        <v>9</v>
      </c>
      <c r="D114" s="5" t="str">
        <f t="shared" si="4"/>
        <v>0102</v>
      </c>
      <c r="E114" s="5" t="s">
        <v>11</v>
      </c>
      <c r="F114" s="5" t="str">
        <f>"孙露露"</f>
        <v>孙露露</v>
      </c>
      <c r="G114" s="5" t="str">
        <f t="shared" si="7"/>
        <v>女</v>
      </c>
      <c r="H114" s="5"/>
    </row>
    <row r="115" spans="1:8" ht="30" customHeight="1">
      <c r="A115" s="5">
        <v>113</v>
      </c>
      <c r="B115" s="5" t="str">
        <f>"519720230523201615142879"</f>
        <v>519720230523201615142879</v>
      </c>
      <c r="C115" s="5" t="s">
        <v>9</v>
      </c>
      <c r="D115" s="5" t="str">
        <f t="shared" si="4"/>
        <v>0102</v>
      </c>
      <c r="E115" s="5" t="s">
        <v>11</v>
      </c>
      <c r="F115" s="5" t="str">
        <f>"纪淼"</f>
        <v>纪淼</v>
      </c>
      <c r="G115" s="5" t="str">
        <f t="shared" si="7"/>
        <v>女</v>
      </c>
      <c r="H115" s="5"/>
    </row>
    <row r="116" spans="1:8" ht="30" customHeight="1">
      <c r="A116" s="5">
        <v>114</v>
      </c>
      <c r="B116" s="5" t="str">
        <f>"519720230523203538142882"</f>
        <v>519720230523203538142882</v>
      </c>
      <c r="C116" s="5" t="s">
        <v>9</v>
      </c>
      <c r="D116" s="5" t="str">
        <f t="shared" si="4"/>
        <v>0102</v>
      </c>
      <c r="E116" s="5" t="s">
        <v>11</v>
      </c>
      <c r="F116" s="5" t="str">
        <f>"麦明珍"</f>
        <v>麦明珍</v>
      </c>
      <c r="G116" s="5" t="str">
        <f t="shared" si="7"/>
        <v>女</v>
      </c>
      <c r="H116" s="5"/>
    </row>
    <row r="117" spans="1:8" ht="30" customHeight="1">
      <c r="A117" s="5">
        <v>115</v>
      </c>
      <c r="B117" s="5" t="str">
        <f>"519720230522100917142281"</f>
        <v>519720230522100917142281</v>
      </c>
      <c r="C117" s="5" t="s">
        <v>9</v>
      </c>
      <c r="D117" s="5" t="str">
        <f t="shared" si="4"/>
        <v>0102</v>
      </c>
      <c r="E117" s="5" t="s">
        <v>11</v>
      </c>
      <c r="F117" s="5" t="str">
        <f>"莫恒榆"</f>
        <v>莫恒榆</v>
      </c>
      <c r="G117" s="5" t="str">
        <f t="shared" si="7"/>
        <v>女</v>
      </c>
      <c r="H117" s="5"/>
    </row>
    <row r="118" spans="1:8" ht="30" customHeight="1">
      <c r="A118" s="5">
        <v>116</v>
      </c>
      <c r="B118" s="5" t="str">
        <f>"519720230523211527142891"</f>
        <v>519720230523211527142891</v>
      </c>
      <c r="C118" s="5" t="s">
        <v>9</v>
      </c>
      <c r="D118" s="5" t="str">
        <f t="shared" si="4"/>
        <v>0102</v>
      </c>
      <c r="E118" s="5" t="s">
        <v>11</v>
      </c>
      <c r="F118" s="5" t="str">
        <f>"谢小妹"</f>
        <v>谢小妹</v>
      </c>
      <c r="G118" s="5" t="str">
        <f t="shared" si="7"/>
        <v>女</v>
      </c>
      <c r="H118" s="5"/>
    </row>
    <row r="119" spans="1:8" ht="30" customHeight="1">
      <c r="A119" s="5">
        <v>117</v>
      </c>
      <c r="B119" s="5" t="str">
        <f>"519720230523163012142813"</f>
        <v>519720230523163012142813</v>
      </c>
      <c r="C119" s="5" t="s">
        <v>9</v>
      </c>
      <c r="D119" s="5" t="str">
        <f t="shared" si="4"/>
        <v>0102</v>
      </c>
      <c r="E119" s="5" t="s">
        <v>11</v>
      </c>
      <c r="F119" s="5" t="str">
        <f>"蔡开奇"</f>
        <v>蔡开奇</v>
      </c>
      <c r="G119" s="5" t="str">
        <f t="shared" si="7"/>
        <v>女</v>
      </c>
      <c r="H119" s="5"/>
    </row>
    <row r="120" spans="1:8" ht="30" customHeight="1">
      <c r="A120" s="5">
        <v>118</v>
      </c>
      <c r="B120" s="5" t="str">
        <f>"519720230523160426142802"</f>
        <v>519720230523160426142802</v>
      </c>
      <c r="C120" s="5" t="s">
        <v>9</v>
      </c>
      <c r="D120" s="5" t="str">
        <f t="shared" si="4"/>
        <v>0102</v>
      </c>
      <c r="E120" s="5" t="s">
        <v>11</v>
      </c>
      <c r="F120" s="5" t="str">
        <f>"倪婷"</f>
        <v>倪婷</v>
      </c>
      <c r="G120" s="5" t="str">
        <f t="shared" si="7"/>
        <v>女</v>
      </c>
      <c r="H120" s="5"/>
    </row>
    <row r="121" spans="1:8" ht="30" customHeight="1">
      <c r="A121" s="5">
        <v>119</v>
      </c>
      <c r="B121" s="5" t="str">
        <f>"519720230523210209142887"</f>
        <v>519720230523210209142887</v>
      </c>
      <c r="C121" s="5" t="s">
        <v>9</v>
      </c>
      <c r="D121" s="5" t="str">
        <f t="shared" si="4"/>
        <v>0102</v>
      </c>
      <c r="E121" s="5" t="s">
        <v>11</v>
      </c>
      <c r="F121" s="5" t="str">
        <f>"陈菲"</f>
        <v>陈菲</v>
      </c>
      <c r="G121" s="5" t="str">
        <f t="shared" si="7"/>
        <v>女</v>
      </c>
      <c r="H121" s="5"/>
    </row>
    <row r="122" spans="1:8" ht="30" customHeight="1">
      <c r="A122" s="5">
        <v>120</v>
      </c>
      <c r="B122" s="5" t="str">
        <f>"519720230523184219142862"</f>
        <v>519720230523184219142862</v>
      </c>
      <c r="C122" s="5" t="s">
        <v>9</v>
      </c>
      <c r="D122" s="5" t="str">
        <f t="shared" si="4"/>
        <v>0102</v>
      </c>
      <c r="E122" s="5" t="s">
        <v>11</v>
      </c>
      <c r="F122" s="5" t="str">
        <f>"杨文君"</f>
        <v>杨文君</v>
      </c>
      <c r="G122" s="5" t="str">
        <f>"男"</f>
        <v>男</v>
      </c>
      <c r="H122" s="5"/>
    </row>
    <row r="123" spans="1:8" ht="30" customHeight="1">
      <c r="A123" s="5">
        <v>121</v>
      </c>
      <c r="B123" s="5" t="str">
        <f>"519720230523213927142895"</f>
        <v>519720230523213927142895</v>
      </c>
      <c r="C123" s="5" t="s">
        <v>9</v>
      </c>
      <c r="D123" s="5" t="str">
        <f t="shared" si="4"/>
        <v>0102</v>
      </c>
      <c r="E123" s="5" t="s">
        <v>11</v>
      </c>
      <c r="F123" s="5" t="str">
        <f>"郭思源"</f>
        <v>郭思源</v>
      </c>
      <c r="G123" s="5" t="str">
        <f>"女"</f>
        <v>女</v>
      </c>
      <c r="H123" s="5"/>
    </row>
    <row r="124" spans="1:8" ht="30" customHeight="1">
      <c r="A124" s="5">
        <v>122</v>
      </c>
      <c r="B124" s="5" t="str">
        <f>"519720230523222459142911"</f>
        <v>519720230523222459142911</v>
      </c>
      <c r="C124" s="5" t="s">
        <v>9</v>
      </c>
      <c r="D124" s="5" t="str">
        <f t="shared" si="4"/>
        <v>0102</v>
      </c>
      <c r="E124" s="5" t="s">
        <v>11</v>
      </c>
      <c r="F124" s="5" t="str">
        <f>"黄泽鸿"</f>
        <v>黄泽鸿</v>
      </c>
      <c r="G124" s="5" t="str">
        <f>"男"</f>
        <v>男</v>
      </c>
      <c r="H124" s="5"/>
    </row>
    <row r="125" spans="1:8" ht="30" customHeight="1">
      <c r="A125" s="5">
        <v>123</v>
      </c>
      <c r="B125" s="5" t="str">
        <f>"519720230523224158142914"</f>
        <v>519720230523224158142914</v>
      </c>
      <c r="C125" s="5" t="s">
        <v>9</v>
      </c>
      <c r="D125" s="5" t="str">
        <f t="shared" si="4"/>
        <v>0102</v>
      </c>
      <c r="E125" s="5" t="s">
        <v>11</v>
      </c>
      <c r="F125" s="5" t="str">
        <f>"盛皓然"</f>
        <v>盛皓然</v>
      </c>
      <c r="G125" s="5" t="str">
        <f>"男"</f>
        <v>男</v>
      </c>
      <c r="H125" s="5"/>
    </row>
    <row r="126" spans="1:8" ht="30" customHeight="1">
      <c r="A126" s="5">
        <v>124</v>
      </c>
      <c r="B126" s="5" t="str">
        <f>"519720230523223051142913"</f>
        <v>519720230523223051142913</v>
      </c>
      <c r="C126" s="5" t="s">
        <v>9</v>
      </c>
      <c r="D126" s="5" t="str">
        <f t="shared" si="4"/>
        <v>0102</v>
      </c>
      <c r="E126" s="5" t="s">
        <v>11</v>
      </c>
      <c r="F126" s="5" t="str">
        <f>"李思琪"</f>
        <v>李思琪</v>
      </c>
      <c r="G126" s="5" t="str">
        <f aca="true" t="shared" si="8" ref="G126:G132">"女"</f>
        <v>女</v>
      </c>
      <c r="H126" s="5"/>
    </row>
    <row r="127" spans="1:8" ht="30" customHeight="1">
      <c r="A127" s="5">
        <v>125</v>
      </c>
      <c r="B127" s="5" t="str">
        <f>"519720230523111619142722"</f>
        <v>519720230523111619142722</v>
      </c>
      <c r="C127" s="5" t="s">
        <v>9</v>
      </c>
      <c r="D127" s="5" t="str">
        <f t="shared" si="4"/>
        <v>0102</v>
      </c>
      <c r="E127" s="5" t="s">
        <v>11</v>
      </c>
      <c r="F127" s="5" t="str">
        <f>"吴静"</f>
        <v>吴静</v>
      </c>
      <c r="G127" s="5" t="str">
        <f t="shared" si="8"/>
        <v>女</v>
      </c>
      <c r="H127" s="5"/>
    </row>
    <row r="128" spans="1:8" ht="30" customHeight="1">
      <c r="A128" s="5">
        <v>126</v>
      </c>
      <c r="B128" s="5" t="str">
        <f>"519720230523224536142915"</f>
        <v>519720230523224536142915</v>
      </c>
      <c r="C128" s="5" t="s">
        <v>9</v>
      </c>
      <c r="D128" s="5" t="str">
        <f t="shared" si="4"/>
        <v>0102</v>
      </c>
      <c r="E128" s="5" t="s">
        <v>11</v>
      </c>
      <c r="F128" s="5" t="str">
        <f>"钟卫洪"</f>
        <v>钟卫洪</v>
      </c>
      <c r="G128" s="5" t="str">
        <f t="shared" si="8"/>
        <v>女</v>
      </c>
      <c r="H128" s="5"/>
    </row>
    <row r="129" spans="1:8" ht="30" customHeight="1">
      <c r="A129" s="5">
        <v>127</v>
      </c>
      <c r="B129" s="5" t="str">
        <f>"519720230522100714142280"</f>
        <v>519720230522100714142280</v>
      </c>
      <c r="C129" s="5" t="s">
        <v>9</v>
      </c>
      <c r="D129" s="5" t="str">
        <f t="shared" si="4"/>
        <v>0102</v>
      </c>
      <c r="E129" s="5" t="s">
        <v>11</v>
      </c>
      <c r="F129" s="5" t="str">
        <f>"黎美烨"</f>
        <v>黎美烨</v>
      </c>
      <c r="G129" s="5" t="str">
        <f t="shared" si="8"/>
        <v>女</v>
      </c>
      <c r="H129" s="5"/>
    </row>
    <row r="130" spans="1:8" ht="30" customHeight="1">
      <c r="A130" s="5">
        <v>128</v>
      </c>
      <c r="B130" s="5" t="str">
        <f>"519720230522112442142342"</f>
        <v>519720230522112442142342</v>
      </c>
      <c r="C130" s="5" t="s">
        <v>9</v>
      </c>
      <c r="D130" s="5" t="str">
        <f t="shared" si="4"/>
        <v>0102</v>
      </c>
      <c r="E130" s="5" t="s">
        <v>11</v>
      </c>
      <c r="F130" s="5" t="str">
        <f>"崔宇欣"</f>
        <v>崔宇欣</v>
      </c>
      <c r="G130" s="5" t="str">
        <f t="shared" si="8"/>
        <v>女</v>
      </c>
      <c r="H130" s="5"/>
    </row>
    <row r="131" spans="1:8" ht="30" customHeight="1">
      <c r="A131" s="5">
        <v>129</v>
      </c>
      <c r="B131" s="5" t="str">
        <f>"519720230524075600142933"</f>
        <v>519720230524075600142933</v>
      </c>
      <c r="C131" s="5" t="s">
        <v>9</v>
      </c>
      <c r="D131" s="5" t="str">
        <f t="shared" si="4"/>
        <v>0102</v>
      </c>
      <c r="E131" s="5" t="s">
        <v>11</v>
      </c>
      <c r="F131" s="5" t="str">
        <f>"许秀莲"</f>
        <v>许秀莲</v>
      </c>
      <c r="G131" s="5" t="str">
        <f t="shared" si="8"/>
        <v>女</v>
      </c>
      <c r="H131" s="5"/>
    </row>
    <row r="132" spans="1:8" ht="30" customHeight="1">
      <c r="A132" s="5">
        <v>130</v>
      </c>
      <c r="B132" s="5" t="str">
        <f>"519720230523095711142687"</f>
        <v>519720230523095711142687</v>
      </c>
      <c r="C132" s="5" t="s">
        <v>9</v>
      </c>
      <c r="D132" s="5" t="str">
        <f t="shared" si="4"/>
        <v>0102</v>
      </c>
      <c r="E132" s="5" t="s">
        <v>11</v>
      </c>
      <c r="F132" s="5" t="str">
        <f>"王兴瑞"</f>
        <v>王兴瑞</v>
      </c>
      <c r="G132" s="5" t="str">
        <f t="shared" si="8"/>
        <v>女</v>
      </c>
      <c r="H132" s="5"/>
    </row>
    <row r="133" spans="1:8" ht="30" customHeight="1">
      <c r="A133" s="5">
        <v>131</v>
      </c>
      <c r="B133" s="5" t="str">
        <f>"519720230523152231142783"</f>
        <v>519720230523152231142783</v>
      </c>
      <c r="C133" s="5" t="s">
        <v>9</v>
      </c>
      <c r="D133" s="5" t="str">
        <f t="shared" si="4"/>
        <v>0102</v>
      </c>
      <c r="E133" s="5" t="s">
        <v>11</v>
      </c>
      <c r="F133" s="5" t="str">
        <f>"朱掌兵"</f>
        <v>朱掌兵</v>
      </c>
      <c r="G133" s="5" t="str">
        <f>"男"</f>
        <v>男</v>
      </c>
      <c r="H133" s="5"/>
    </row>
    <row r="134" spans="1:8" ht="30" customHeight="1">
      <c r="A134" s="5">
        <v>132</v>
      </c>
      <c r="B134" s="5" t="str">
        <f>"519720230524085459142938"</f>
        <v>519720230524085459142938</v>
      </c>
      <c r="C134" s="5" t="s">
        <v>9</v>
      </c>
      <c r="D134" s="5" t="str">
        <f t="shared" si="4"/>
        <v>0102</v>
      </c>
      <c r="E134" s="5" t="s">
        <v>11</v>
      </c>
      <c r="F134" s="5" t="str">
        <f>"符燕"</f>
        <v>符燕</v>
      </c>
      <c r="G134" s="5" t="str">
        <f>"女"</f>
        <v>女</v>
      </c>
      <c r="H134" s="5"/>
    </row>
    <row r="135" spans="1:8" ht="30" customHeight="1">
      <c r="A135" s="5">
        <v>133</v>
      </c>
      <c r="B135" s="5" t="str">
        <f>"519720230524090027142939"</f>
        <v>519720230524090027142939</v>
      </c>
      <c r="C135" s="5" t="s">
        <v>9</v>
      </c>
      <c r="D135" s="5" t="str">
        <f t="shared" si="4"/>
        <v>0102</v>
      </c>
      <c r="E135" s="5" t="s">
        <v>11</v>
      </c>
      <c r="F135" s="5" t="str">
        <f>"黎培丽"</f>
        <v>黎培丽</v>
      </c>
      <c r="G135" s="5" t="str">
        <f>"女"</f>
        <v>女</v>
      </c>
      <c r="H135" s="5"/>
    </row>
    <row r="136" spans="1:8" ht="30" customHeight="1">
      <c r="A136" s="5">
        <v>134</v>
      </c>
      <c r="B136" s="5" t="str">
        <f>"519720230524094957142956"</f>
        <v>519720230524094957142956</v>
      </c>
      <c r="C136" s="5" t="s">
        <v>9</v>
      </c>
      <c r="D136" s="5" t="str">
        <f t="shared" si="4"/>
        <v>0102</v>
      </c>
      <c r="E136" s="5" t="s">
        <v>11</v>
      </c>
      <c r="F136" s="5" t="str">
        <f>"吉如惠"</f>
        <v>吉如惠</v>
      </c>
      <c r="G136" s="5" t="str">
        <f>"女"</f>
        <v>女</v>
      </c>
      <c r="H136" s="5"/>
    </row>
    <row r="137" spans="1:8" ht="30" customHeight="1">
      <c r="A137" s="5">
        <v>135</v>
      </c>
      <c r="B137" s="5" t="str">
        <f>"519720230522162459142477"</f>
        <v>519720230522162459142477</v>
      </c>
      <c r="C137" s="5" t="s">
        <v>9</v>
      </c>
      <c r="D137" s="5" t="str">
        <f t="shared" si="4"/>
        <v>0102</v>
      </c>
      <c r="E137" s="5" t="s">
        <v>11</v>
      </c>
      <c r="F137" s="5" t="str">
        <f>"王军"</f>
        <v>王军</v>
      </c>
      <c r="G137" s="5" t="str">
        <f>"男"</f>
        <v>男</v>
      </c>
      <c r="H137" s="5"/>
    </row>
    <row r="138" spans="1:8" ht="30" customHeight="1">
      <c r="A138" s="5">
        <v>136</v>
      </c>
      <c r="B138" s="5" t="str">
        <f>"519720230522092317142236"</f>
        <v>519720230522092317142236</v>
      </c>
      <c r="C138" s="5" t="s">
        <v>9</v>
      </c>
      <c r="D138" s="5" t="str">
        <f t="shared" si="4"/>
        <v>0102</v>
      </c>
      <c r="E138" s="5" t="s">
        <v>11</v>
      </c>
      <c r="F138" s="5" t="str">
        <f>"叶青"</f>
        <v>叶青</v>
      </c>
      <c r="G138" s="5" t="str">
        <f>"女"</f>
        <v>女</v>
      </c>
      <c r="H138" s="5"/>
    </row>
    <row r="139" spans="1:8" ht="30" customHeight="1">
      <c r="A139" s="5">
        <v>137</v>
      </c>
      <c r="B139" s="5" t="str">
        <f>"519720230524100109142958"</f>
        <v>519720230524100109142958</v>
      </c>
      <c r="C139" s="5" t="s">
        <v>9</v>
      </c>
      <c r="D139" s="5" t="str">
        <f t="shared" si="4"/>
        <v>0102</v>
      </c>
      <c r="E139" s="5" t="s">
        <v>11</v>
      </c>
      <c r="F139" s="5" t="str">
        <f>"黄欢怡"</f>
        <v>黄欢怡</v>
      </c>
      <c r="G139" s="5" t="str">
        <f>"女"</f>
        <v>女</v>
      </c>
      <c r="H139" s="5"/>
    </row>
    <row r="140" spans="1:8" ht="30" customHeight="1">
      <c r="A140" s="5">
        <v>138</v>
      </c>
      <c r="B140" s="5" t="str">
        <f>"519720230522151330142429"</f>
        <v>519720230522151330142429</v>
      </c>
      <c r="C140" s="5" t="s">
        <v>9</v>
      </c>
      <c r="D140" s="5" t="str">
        <f t="shared" si="4"/>
        <v>0102</v>
      </c>
      <c r="E140" s="5" t="s">
        <v>11</v>
      </c>
      <c r="F140" s="5" t="str">
        <f>"李帆"</f>
        <v>李帆</v>
      </c>
      <c r="G140" s="5" t="str">
        <f>"男"</f>
        <v>男</v>
      </c>
      <c r="H140" s="5"/>
    </row>
    <row r="141" spans="1:8" ht="30" customHeight="1">
      <c r="A141" s="5">
        <v>139</v>
      </c>
      <c r="B141" s="5" t="str">
        <f>"519720230524092742142947"</f>
        <v>519720230524092742142947</v>
      </c>
      <c r="C141" s="5" t="s">
        <v>9</v>
      </c>
      <c r="D141" s="5" t="str">
        <f aca="true" t="shared" si="9" ref="D141:D158">"0102"</f>
        <v>0102</v>
      </c>
      <c r="E141" s="5" t="s">
        <v>11</v>
      </c>
      <c r="F141" s="5" t="str">
        <f>"张蔡娜"</f>
        <v>张蔡娜</v>
      </c>
      <c r="G141" s="5" t="str">
        <f>"女"</f>
        <v>女</v>
      </c>
      <c r="H141" s="5"/>
    </row>
    <row r="142" spans="1:8" ht="30" customHeight="1">
      <c r="A142" s="5">
        <v>140</v>
      </c>
      <c r="B142" s="5" t="str">
        <f>"519720230524102236142966"</f>
        <v>519720230524102236142966</v>
      </c>
      <c r="C142" s="5" t="s">
        <v>9</v>
      </c>
      <c r="D142" s="5" t="str">
        <f t="shared" si="9"/>
        <v>0102</v>
      </c>
      <c r="E142" s="5" t="s">
        <v>11</v>
      </c>
      <c r="F142" s="5" t="str">
        <f>"羊美如"</f>
        <v>羊美如</v>
      </c>
      <c r="G142" s="5" t="str">
        <f>"女"</f>
        <v>女</v>
      </c>
      <c r="H142" s="5"/>
    </row>
    <row r="143" spans="1:8" ht="30" customHeight="1">
      <c r="A143" s="5">
        <v>141</v>
      </c>
      <c r="B143" s="5" t="str">
        <f>"519720230524101452142961"</f>
        <v>519720230524101452142961</v>
      </c>
      <c r="C143" s="5" t="s">
        <v>9</v>
      </c>
      <c r="D143" s="5" t="str">
        <f t="shared" si="9"/>
        <v>0102</v>
      </c>
      <c r="E143" s="5" t="s">
        <v>11</v>
      </c>
      <c r="F143" s="5" t="str">
        <f>"李金茹"</f>
        <v>李金茹</v>
      </c>
      <c r="G143" s="5" t="str">
        <f>"女"</f>
        <v>女</v>
      </c>
      <c r="H143" s="5"/>
    </row>
    <row r="144" spans="1:8" ht="30" customHeight="1">
      <c r="A144" s="5">
        <v>142</v>
      </c>
      <c r="B144" s="5" t="str">
        <f>"519720230524103340142971"</f>
        <v>519720230524103340142971</v>
      </c>
      <c r="C144" s="5" t="s">
        <v>9</v>
      </c>
      <c r="D144" s="5" t="str">
        <f t="shared" si="9"/>
        <v>0102</v>
      </c>
      <c r="E144" s="5" t="s">
        <v>11</v>
      </c>
      <c r="F144" s="5" t="str">
        <f>"胡绍明"</f>
        <v>胡绍明</v>
      </c>
      <c r="G144" s="5" t="str">
        <f>"男"</f>
        <v>男</v>
      </c>
      <c r="H144" s="5"/>
    </row>
    <row r="145" spans="1:8" ht="30" customHeight="1">
      <c r="A145" s="5">
        <v>143</v>
      </c>
      <c r="B145" s="5" t="str">
        <f>"519720230524114805142993"</f>
        <v>519720230524114805142993</v>
      </c>
      <c r="C145" s="5" t="s">
        <v>9</v>
      </c>
      <c r="D145" s="5" t="str">
        <f t="shared" si="9"/>
        <v>0102</v>
      </c>
      <c r="E145" s="5" t="s">
        <v>11</v>
      </c>
      <c r="F145" s="5" t="str">
        <f>"陈糠"</f>
        <v>陈糠</v>
      </c>
      <c r="G145" s="5" t="str">
        <f>"男"</f>
        <v>男</v>
      </c>
      <c r="H145" s="5"/>
    </row>
    <row r="146" spans="1:8" ht="30" customHeight="1">
      <c r="A146" s="5">
        <v>144</v>
      </c>
      <c r="B146" s="5" t="str">
        <f>"519720230524003056142924"</f>
        <v>519720230524003056142924</v>
      </c>
      <c r="C146" s="5" t="s">
        <v>9</v>
      </c>
      <c r="D146" s="5" t="str">
        <f t="shared" si="9"/>
        <v>0102</v>
      </c>
      <c r="E146" s="5" t="s">
        <v>11</v>
      </c>
      <c r="F146" s="5" t="str">
        <f>"刘海"</f>
        <v>刘海</v>
      </c>
      <c r="G146" s="5" t="str">
        <f>"女"</f>
        <v>女</v>
      </c>
      <c r="H146" s="5"/>
    </row>
    <row r="147" spans="1:8" ht="30" customHeight="1">
      <c r="A147" s="5">
        <v>145</v>
      </c>
      <c r="B147" s="5" t="str">
        <f>"519720230524091808142942"</f>
        <v>519720230524091808142942</v>
      </c>
      <c r="C147" s="5" t="s">
        <v>9</v>
      </c>
      <c r="D147" s="5" t="str">
        <f t="shared" si="9"/>
        <v>0102</v>
      </c>
      <c r="E147" s="5" t="s">
        <v>11</v>
      </c>
      <c r="F147" s="5" t="str">
        <f>"杨淼"</f>
        <v>杨淼</v>
      </c>
      <c r="G147" s="5" t="str">
        <f>"女"</f>
        <v>女</v>
      </c>
      <c r="H147" s="5"/>
    </row>
    <row r="148" spans="1:8" ht="30" customHeight="1">
      <c r="A148" s="5">
        <v>146</v>
      </c>
      <c r="B148" s="5" t="str">
        <f>"519720230524104943142981"</f>
        <v>519720230524104943142981</v>
      </c>
      <c r="C148" s="5" t="s">
        <v>9</v>
      </c>
      <c r="D148" s="5" t="str">
        <f t="shared" si="9"/>
        <v>0102</v>
      </c>
      <c r="E148" s="5" t="s">
        <v>11</v>
      </c>
      <c r="F148" s="5" t="str">
        <f>"高敏贵"</f>
        <v>高敏贵</v>
      </c>
      <c r="G148" s="5" t="str">
        <f>"男"</f>
        <v>男</v>
      </c>
      <c r="H148" s="5"/>
    </row>
    <row r="149" spans="1:8" ht="30" customHeight="1">
      <c r="A149" s="5">
        <v>147</v>
      </c>
      <c r="B149" s="5" t="str">
        <f>"519720230524144242143012"</f>
        <v>519720230524144242143012</v>
      </c>
      <c r="C149" s="5" t="s">
        <v>9</v>
      </c>
      <c r="D149" s="5" t="str">
        <f t="shared" si="9"/>
        <v>0102</v>
      </c>
      <c r="E149" s="5" t="s">
        <v>11</v>
      </c>
      <c r="F149" s="5" t="str">
        <f>"卢雪慧"</f>
        <v>卢雪慧</v>
      </c>
      <c r="G149" s="5" t="str">
        <f>"女"</f>
        <v>女</v>
      </c>
      <c r="H149" s="5"/>
    </row>
    <row r="150" spans="1:8" ht="30" customHeight="1">
      <c r="A150" s="5">
        <v>148</v>
      </c>
      <c r="B150" s="5" t="str">
        <f>"519720230524145906143015"</f>
        <v>519720230524145906143015</v>
      </c>
      <c r="C150" s="5" t="s">
        <v>9</v>
      </c>
      <c r="D150" s="5" t="str">
        <f t="shared" si="9"/>
        <v>0102</v>
      </c>
      <c r="E150" s="5" t="s">
        <v>11</v>
      </c>
      <c r="F150" s="5" t="str">
        <f>"任中铱"</f>
        <v>任中铱</v>
      </c>
      <c r="G150" s="5" t="str">
        <f>"男"</f>
        <v>男</v>
      </c>
      <c r="H150" s="5"/>
    </row>
    <row r="151" spans="1:8" ht="30" customHeight="1">
      <c r="A151" s="5">
        <v>149</v>
      </c>
      <c r="B151" s="5" t="str">
        <f>"519720230524094650142955"</f>
        <v>519720230524094650142955</v>
      </c>
      <c r="C151" s="5" t="s">
        <v>9</v>
      </c>
      <c r="D151" s="5" t="str">
        <f t="shared" si="9"/>
        <v>0102</v>
      </c>
      <c r="E151" s="5" t="s">
        <v>11</v>
      </c>
      <c r="F151" s="5" t="str">
        <f>"于占双"</f>
        <v>于占双</v>
      </c>
      <c r="G151" s="5" t="str">
        <f>"女"</f>
        <v>女</v>
      </c>
      <c r="H151" s="5"/>
    </row>
    <row r="152" spans="1:8" ht="30" customHeight="1">
      <c r="A152" s="5">
        <v>150</v>
      </c>
      <c r="B152" s="5" t="str">
        <f>"519720230524154334143026"</f>
        <v>519720230524154334143026</v>
      </c>
      <c r="C152" s="5" t="s">
        <v>9</v>
      </c>
      <c r="D152" s="5" t="str">
        <f t="shared" si="9"/>
        <v>0102</v>
      </c>
      <c r="E152" s="5" t="s">
        <v>11</v>
      </c>
      <c r="F152" s="5" t="str">
        <f>"杨来滨"</f>
        <v>杨来滨</v>
      </c>
      <c r="G152" s="5" t="str">
        <f>"男"</f>
        <v>男</v>
      </c>
      <c r="H152" s="5"/>
    </row>
    <row r="153" spans="1:8" ht="30" customHeight="1">
      <c r="A153" s="5">
        <v>151</v>
      </c>
      <c r="B153" s="5" t="str">
        <f>"519720230524161457143036"</f>
        <v>519720230524161457143036</v>
      </c>
      <c r="C153" s="5" t="s">
        <v>9</v>
      </c>
      <c r="D153" s="5" t="str">
        <f t="shared" si="9"/>
        <v>0102</v>
      </c>
      <c r="E153" s="5" t="s">
        <v>11</v>
      </c>
      <c r="F153" s="5" t="str">
        <f>"何小娜"</f>
        <v>何小娜</v>
      </c>
      <c r="G153" s="5" t="str">
        <f>"女"</f>
        <v>女</v>
      </c>
      <c r="H153" s="5"/>
    </row>
    <row r="154" spans="1:8" ht="30" customHeight="1">
      <c r="A154" s="5">
        <v>152</v>
      </c>
      <c r="B154" s="5" t="str">
        <f>"519720230524163912143042"</f>
        <v>519720230524163912143042</v>
      </c>
      <c r="C154" s="5" t="s">
        <v>9</v>
      </c>
      <c r="D154" s="5" t="str">
        <f t="shared" si="9"/>
        <v>0102</v>
      </c>
      <c r="E154" s="5" t="s">
        <v>11</v>
      </c>
      <c r="F154" s="5" t="str">
        <f>"曾海龙"</f>
        <v>曾海龙</v>
      </c>
      <c r="G154" s="5" t="str">
        <f>"女"</f>
        <v>女</v>
      </c>
      <c r="H154" s="5"/>
    </row>
    <row r="155" spans="1:8" ht="30" customHeight="1">
      <c r="A155" s="5">
        <v>153</v>
      </c>
      <c r="B155" s="5" t="str">
        <f>"519720230524170248143051"</f>
        <v>519720230524170248143051</v>
      </c>
      <c r="C155" s="5" t="s">
        <v>9</v>
      </c>
      <c r="D155" s="5" t="str">
        <f t="shared" si="9"/>
        <v>0102</v>
      </c>
      <c r="E155" s="5" t="s">
        <v>11</v>
      </c>
      <c r="F155" s="5" t="str">
        <f>"王琪"</f>
        <v>王琪</v>
      </c>
      <c r="G155" s="5" t="str">
        <f>"女"</f>
        <v>女</v>
      </c>
      <c r="H155" s="5"/>
    </row>
    <row r="156" spans="1:8" ht="30" customHeight="1">
      <c r="A156" s="5">
        <v>154</v>
      </c>
      <c r="B156" s="5" t="str">
        <f>"519720230524165407143048"</f>
        <v>519720230524165407143048</v>
      </c>
      <c r="C156" s="5" t="s">
        <v>9</v>
      </c>
      <c r="D156" s="5" t="str">
        <f t="shared" si="9"/>
        <v>0102</v>
      </c>
      <c r="E156" s="5" t="s">
        <v>11</v>
      </c>
      <c r="F156" s="5" t="str">
        <f>"林国慧"</f>
        <v>林国慧</v>
      </c>
      <c r="G156" s="5" t="str">
        <f>"女"</f>
        <v>女</v>
      </c>
      <c r="H156" s="5"/>
    </row>
    <row r="157" spans="1:8" ht="30" customHeight="1">
      <c r="A157" s="5">
        <v>155</v>
      </c>
      <c r="B157" s="5" t="str">
        <f>"519720230523210212142888"</f>
        <v>519720230523210212142888</v>
      </c>
      <c r="C157" s="5" t="s">
        <v>9</v>
      </c>
      <c r="D157" s="5" t="str">
        <f t="shared" si="9"/>
        <v>0102</v>
      </c>
      <c r="E157" s="5" t="s">
        <v>11</v>
      </c>
      <c r="F157" s="5" t="str">
        <f>"李博"</f>
        <v>李博</v>
      </c>
      <c r="G157" s="5" t="str">
        <f>"男"</f>
        <v>男</v>
      </c>
      <c r="H157" s="5"/>
    </row>
    <row r="158" spans="1:8" ht="30" customHeight="1">
      <c r="A158" s="5">
        <v>156</v>
      </c>
      <c r="B158" s="5" t="str">
        <f>"519720230524185803143069"</f>
        <v>519720230524185803143069</v>
      </c>
      <c r="C158" s="5" t="s">
        <v>9</v>
      </c>
      <c r="D158" s="5" t="str">
        <f t="shared" si="9"/>
        <v>0102</v>
      </c>
      <c r="E158" s="5" t="s">
        <v>11</v>
      </c>
      <c r="F158" s="5" t="str">
        <f>"吴其莊"</f>
        <v>吴其莊</v>
      </c>
      <c r="G158" s="5" t="str">
        <f>"女"</f>
        <v>女</v>
      </c>
      <c r="H158" s="5"/>
    </row>
    <row r="159" spans="1:8" ht="30" customHeight="1">
      <c r="A159" s="5">
        <v>157</v>
      </c>
      <c r="B159" s="5" t="str">
        <f>"519720230524194931143078"</f>
        <v>519720230524194931143078</v>
      </c>
      <c r="C159" s="5" t="s">
        <v>9</v>
      </c>
      <c r="D159" s="5" t="str">
        <f aca="true" t="shared" si="10" ref="D159:D222">"0102"</f>
        <v>0102</v>
      </c>
      <c r="E159" s="5" t="s">
        <v>11</v>
      </c>
      <c r="F159" s="5" t="str">
        <f>"朱家祥"</f>
        <v>朱家祥</v>
      </c>
      <c r="G159" s="5" t="str">
        <f>"男"</f>
        <v>男</v>
      </c>
      <c r="H159" s="5"/>
    </row>
    <row r="160" spans="1:8" ht="30" customHeight="1">
      <c r="A160" s="5">
        <v>158</v>
      </c>
      <c r="B160" s="5" t="str">
        <f>"519720230523155747142796"</f>
        <v>519720230523155747142796</v>
      </c>
      <c r="C160" s="5" t="s">
        <v>9</v>
      </c>
      <c r="D160" s="5" t="str">
        <f t="shared" si="10"/>
        <v>0102</v>
      </c>
      <c r="E160" s="5" t="s">
        <v>11</v>
      </c>
      <c r="F160" s="5" t="str">
        <f>"王静"</f>
        <v>王静</v>
      </c>
      <c r="G160" s="5" t="str">
        <f aca="true" t="shared" si="11" ref="G157:G161">"女"</f>
        <v>女</v>
      </c>
      <c r="H160" s="5"/>
    </row>
    <row r="161" spans="1:8" ht="30" customHeight="1">
      <c r="A161" s="5">
        <v>159</v>
      </c>
      <c r="B161" s="5" t="str">
        <f>"519720230522113750142351"</f>
        <v>519720230522113750142351</v>
      </c>
      <c r="C161" s="5" t="s">
        <v>9</v>
      </c>
      <c r="D161" s="5" t="str">
        <f t="shared" si="10"/>
        <v>0102</v>
      </c>
      <c r="E161" s="5" t="s">
        <v>11</v>
      </c>
      <c r="F161" s="5" t="str">
        <f>"许芳"</f>
        <v>许芳</v>
      </c>
      <c r="G161" s="5" t="str">
        <f t="shared" si="11"/>
        <v>女</v>
      </c>
      <c r="H161" s="5"/>
    </row>
    <row r="162" spans="1:8" ht="30" customHeight="1">
      <c r="A162" s="5">
        <v>160</v>
      </c>
      <c r="B162" s="5" t="str">
        <f>"519720230522122959142375"</f>
        <v>519720230522122959142375</v>
      </c>
      <c r="C162" s="5" t="s">
        <v>9</v>
      </c>
      <c r="D162" s="5" t="str">
        <f t="shared" si="10"/>
        <v>0102</v>
      </c>
      <c r="E162" s="5" t="s">
        <v>11</v>
      </c>
      <c r="F162" s="5" t="str">
        <f>"陈钊"</f>
        <v>陈钊</v>
      </c>
      <c r="G162" s="5" t="str">
        <f aca="true" t="shared" si="12" ref="G162:G168">"男"</f>
        <v>男</v>
      </c>
      <c r="H162" s="5"/>
    </row>
    <row r="163" spans="1:8" ht="30" customHeight="1">
      <c r="A163" s="5">
        <v>161</v>
      </c>
      <c r="B163" s="5" t="str">
        <f>"519720230523235440142923"</f>
        <v>519720230523235440142923</v>
      </c>
      <c r="C163" s="5" t="s">
        <v>9</v>
      </c>
      <c r="D163" s="5" t="str">
        <f t="shared" si="10"/>
        <v>0102</v>
      </c>
      <c r="E163" s="5" t="s">
        <v>11</v>
      </c>
      <c r="F163" s="5" t="str">
        <f>"云春梅"</f>
        <v>云春梅</v>
      </c>
      <c r="G163" s="5" t="str">
        <f aca="true" t="shared" si="13" ref="G163:G166">"女"</f>
        <v>女</v>
      </c>
      <c r="H163" s="5"/>
    </row>
    <row r="164" spans="1:8" ht="30" customHeight="1">
      <c r="A164" s="5">
        <v>162</v>
      </c>
      <c r="B164" s="5" t="str">
        <f>"519720230522225532142629"</f>
        <v>519720230522225532142629</v>
      </c>
      <c r="C164" s="5" t="s">
        <v>9</v>
      </c>
      <c r="D164" s="5" t="str">
        <f t="shared" si="10"/>
        <v>0102</v>
      </c>
      <c r="E164" s="5" t="s">
        <v>11</v>
      </c>
      <c r="F164" s="5" t="str">
        <f>"张胜婕"</f>
        <v>张胜婕</v>
      </c>
      <c r="G164" s="5" t="str">
        <f t="shared" si="13"/>
        <v>女</v>
      </c>
      <c r="H164" s="5"/>
    </row>
    <row r="165" spans="1:8" ht="30" customHeight="1">
      <c r="A165" s="5">
        <v>163</v>
      </c>
      <c r="B165" s="5" t="str">
        <f>"519720230522092026142233"</f>
        <v>519720230522092026142233</v>
      </c>
      <c r="C165" s="5" t="s">
        <v>9</v>
      </c>
      <c r="D165" s="5" t="str">
        <f t="shared" si="10"/>
        <v>0102</v>
      </c>
      <c r="E165" s="5" t="s">
        <v>11</v>
      </c>
      <c r="F165" s="5" t="str">
        <f>"陈圣有"</f>
        <v>陈圣有</v>
      </c>
      <c r="G165" s="5" t="str">
        <f t="shared" si="12"/>
        <v>男</v>
      </c>
      <c r="H165" s="5"/>
    </row>
    <row r="166" spans="1:8" ht="30" customHeight="1">
      <c r="A166" s="5">
        <v>164</v>
      </c>
      <c r="B166" s="5" t="str">
        <f>"519720230524233552143116"</f>
        <v>519720230524233552143116</v>
      </c>
      <c r="C166" s="5" t="s">
        <v>9</v>
      </c>
      <c r="D166" s="5" t="str">
        <f t="shared" si="10"/>
        <v>0102</v>
      </c>
      <c r="E166" s="5" t="s">
        <v>11</v>
      </c>
      <c r="F166" s="5" t="str">
        <f>"陈雯欣"</f>
        <v>陈雯欣</v>
      </c>
      <c r="G166" s="5" t="str">
        <f t="shared" si="13"/>
        <v>女</v>
      </c>
      <c r="H166" s="5"/>
    </row>
    <row r="167" spans="1:8" ht="30" customHeight="1">
      <c r="A167" s="5">
        <v>165</v>
      </c>
      <c r="B167" s="5" t="str">
        <f>"519720230525001656143117"</f>
        <v>519720230525001656143117</v>
      </c>
      <c r="C167" s="5" t="s">
        <v>9</v>
      </c>
      <c r="D167" s="5" t="str">
        <f t="shared" si="10"/>
        <v>0102</v>
      </c>
      <c r="E167" s="5" t="s">
        <v>11</v>
      </c>
      <c r="F167" s="5" t="str">
        <f>"陈圣平"</f>
        <v>陈圣平</v>
      </c>
      <c r="G167" s="5" t="str">
        <f t="shared" si="12"/>
        <v>男</v>
      </c>
      <c r="H167" s="5"/>
    </row>
    <row r="168" spans="1:8" ht="30" customHeight="1">
      <c r="A168" s="5">
        <v>166</v>
      </c>
      <c r="B168" s="5" t="str">
        <f>"519720230522102314142293"</f>
        <v>519720230522102314142293</v>
      </c>
      <c r="C168" s="5" t="s">
        <v>9</v>
      </c>
      <c r="D168" s="5" t="str">
        <f t="shared" si="10"/>
        <v>0102</v>
      </c>
      <c r="E168" s="5" t="s">
        <v>11</v>
      </c>
      <c r="F168" s="5" t="str">
        <f>"罗智山"</f>
        <v>罗智山</v>
      </c>
      <c r="G168" s="5" t="str">
        <f t="shared" si="12"/>
        <v>男</v>
      </c>
      <c r="H168" s="5"/>
    </row>
    <row r="169" spans="1:8" ht="30" customHeight="1">
      <c r="A169" s="5">
        <v>167</v>
      </c>
      <c r="B169" s="5" t="str">
        <f>"519720230523080106142648"</f>
        <v>519720230523080106142648</v>
      </c>
      <c r="C169" s="5" t="s">
        <v>9</v>
      </c>
      <c r="D169" s="5" t="str">
        <f t="shared" si="10"/>
        <v>0102</v>
      </c>
      <c r="E169" s="5" t="s">
        <v>11</v>
      </c>
      <c r="F169" s="5" t="str">
        <f>"刘小雅"</f>
        <v>刘小雅</v>
      </c>
      <c r="G169" s="5" t="str">
        <f aca="true" t="shared" si="14" ref="G169:G171">"女"</f>
        <v>女</v>
      </c>
      <c r="H169" s="5"/>
    </row>
    <row r="170" spans="1:8" ht="30" customHeight="1">
      <c r="A170" s="5">
        <v>168</v>
      </c>
      <c r="B170" s="5" t="str">
        <f>"519720230525082327143121"</f>
        <v>519720230525082327143121</v>
      </c>
      <c r="C170" s="5" t="s">
        <v>9</v>
      </c>
      <c r="D170" s="5" t="str">
        <f t="shared" si="10"/>
        <v>0102</v>
      </c>
      <c r="E170" s="5" t="s">
        <v>11</v>
      </c>
      <c r="F170" s="5" t="str">
        <f>"陈垂妹"</f>
        <v>陈垂妹</v>
      </c>
      <c r="G170" s="5" t="str">
        <f t="shared" si="14"/>
        <v>女</v>
      </c>
      <c r="H170" s="5"/>
    </row>
    <row r="171" spans="1:8" ht="30" customHeight="1">
      <c r="A171" s="5">
        <v>169</v>
      </c>
      <c r="B171" s="5" t="str">
        <f>"519720230525084819143127"</f>
        <v>519720230525084819143127</v>
      </c>
      <c r="C171" s="5" t="s">
        <v>9</v>
      </c>
      <c r="D171" s="5" t="str">
        <f t="shared" si="10"/>
        <v>0102</v>
      </c>
      <c r="E171" s="5" t="s">
        <v>11</v>
      </c>
      <c r="F171" s="5" t="str">
        <f>"吴燕阳"</f>
        <v>吴燕阳</v>
      </c>
      <c r="G171" s="5" t="str">
        <f t="shared" si="14"/>
        <v>女</v>
      </c>
      <c r="H171" s="5"/>
    </row>
    <row r="172" spans="1:8" ht="30" customHeight="1">
      <c r="A172" s="5">
        <v>170</v>
      </c>
      <c r="B172" s="5" t="str">
        <f>"519720230522154554142454"</f>
        <v>519720230522154554142454</v>
      </c>
      <c r="C172" s="5" t="s">
        <v>9</v>
      </c>
      <c r="D172" s="5" t="str">
        <f t="shared" si="10"/>
        <v>0102</v>
      </c>
      <c r="E172" s="5" t="s">
        <v>11</v>
      </c>
      <c r="F172" s="5" t="str">
        <f>"颜旭"</f>
        <v>颜旭</v>
      </c>
      <c r="G172" s="5" t="str">
        <f>"男"</f>
        <v>男</v>
      </c>
      <c r="H172" s="5"/>
    </row>
    <row r="173" spans="1:8" ht="30" customHeight="1">
      <c r="A173" s="5">
        <v>171</v>
      </c>
      <c r="B173" s="5" t="str">
        <f>"519720230525095055143139"</f>
        <v>519720230525095055143139</v>
      </c>
      <c r="C173" s="5" t="s">
        <v>9</v>
      </c>
      <c r="D173" s="5" t="str">
        <f t="shared" si="10"/>
        <v>0102</v>
      </c>
      <c r="E173" s="5" t="s">
        <v>11</v>
      </c>
      <c r="F173" s="5" t="str">
        <f>"全芸芸"</f>
        <v>全芸芸</v>
      </c>
      <c r="G173" s="5" t="str">
        <f aca="true" t="shared" si="15" ref="G173:G181">"女"</f>
        <v>女</v>
      </c>
      <c r="H173" s="5"/>
    </row>
    <row r="174" spans="1:8" ht="30" customHeight="1">
      <c r="A174" s="5">
        <v>172</v>
      </c>
      <c r="B174" s="5" t="str">
        <f>"519720230522094055142259"</f>
        <v>519720230522094055142259</v>
      </c>
      <c r="C174" s="5" t="s">
        <v>9</v>
      </c>
      <c r="D174" s="5" t="str">
        <f t="shared" si="10"/>
        <v>0102</v>
      </c>
      <c r="E174" s="5" t="s">
        <v>11</v>
      </c>
      <c r="F174" s="5" t="str">
        <f>"叶珊珊"</f>
        <v>叶珊珊</v>
      </c>
      <c r="G174" s="5" t="str">
        <f t="shared" si="15"/>
        <v>女</v>
      </c>
      <c r="H174" s="5"/>
    </row>
    <row r="175" spans="1:8" ht="30" customHeight="1">
      <c r="A175" s="5">
        <v>173</v>
      </c>
      <c r="B175" s="5" t="str">
        <f>"519720230525095647143140"</f>
        <v>519720230525095647143140</v>
      </c>
      <c r="C175" s="5" t="s">
        <v>9</v>
      </c>
      <c r="D175" s="5" t="str">
        <f t="shared" si="10"/>
        <v>0102</v>
      </c>
      <c r="E175" s="5" t="s">
        <v>11</v>
      </c>
      <c r="F175" s="5" t="str">
        <f>"范佳佳"</f>
        <v>范佳佳</v>
      </c>
      <c r="G175" s="5" t="str">
        <f t="shared" si="15"/>
        <v>女</v>
      </c>
      <c r="H175" s="5"/>
    </row>
    <row r="176" spans="1:8" ht="30" customHeight="1">
      <c r="A176" s="5">
        <v>174</v>
      </c>
      <c r="B176" s="5" t="str">
        <f>"519720230525100847143142"</f>
        <v>519720230525100847143142</v>
      </c>
      <c r="C176" s="5" t="s">
        <v>9</v>
      </c>
      <c r="D176" s="5" t="str">
        <f t="shared" si="10"/>
        <v>0102</v>
      </c>
      <c r="E176" s="5" t="s">
        <v>11</v>
      </c>
      <c r="F176" s="5" t="str">
        <f>"陈文娜"</f>
        <v>陈文娜</v>
      </c>
      <c r="G176" s="5" t="str">
        <f t="shared" si="15"/>
        <v>女</v>
      </c>
      <c r="H176" s="5"/>
    </row>
    <row r="177" spans="1:8" ht="30" customHeight="1">
      <c r="A177" s="5">
        <v>175</v>
      </c>
      <c r="B177" s="5" t="str">
        <f>"519720230525105203143152"</f>
        <v>519720230525105203143152</v>
      </c>
      <c r="C177" s="5" t="s">
        <v>9</v>
      </c>
      <c r="D177" s="5" t="str">
        <f t="shared" si="10"/>
        <v>0102</v>
      </c>
      <c r="E177" s="5" t="s">
        <v>11</v>
      </c>
      <c r="F177" s="5" t="str">
        <f>"王靖怡"</f>
        <v>王靖怡</v>
      </c>
      <c r="G177" s="5" t="str">
        <f t="shared" si="15"/>
        <v>女</v>
      </c>
      <c r="H177" s="5"/>
    </row>
    <row r="178" spans="1:8" ht="30" customHeight="1">
      <c r="A178" s="5">
        <v>176</v>
      </c>
      <c r="B178" s="5" t="str">
        <f>"519720230523154404142790"</f>
        <v>519720230523154404142790</v>
      </c>
      <c r="C178" s="5" t="s">
        <v>9</v>
      </c>
      <c r="D178" s="5" t="str">
        <f t="shared" si="10"/>
        <v>0102</v>
      </c>
      <c r="E178" s="5" t="s">
        <v>11</v>
      </c>
      <c r="F178" s="5" t="str">
        <f>"纪婷婷"</f>
        <v>纪婷婷</v>
      </c>
      <c r="G178" s="5" t="str">
        <f t="shared" si="15"/>
        <v>女</v>
      </c>
      <c r="H178" s="5"/>
    </row>
    <row r="179" spans="1:8" ht="30" customHeight="1">
      <c r="A179" s="5">
        <v>177</v>
      </c>
      <c r="B179" s="5" t="str">
        <f>"519720230525110755143158"</f>
        <v>519720230525110755143158</v>
      </c>
      <c r="C179" s="5" t="s">
        <v>9</v>
      </c>
      <c r="D179" s="5" t="str">
        <f t="shared" si="10"/>
        <v>0102</v>
      </c>
      <c r="E179" s="5" t="s">
        <v>11</v>
      </c>
      <c r="F179" s="5" t="str">
        <f>"黄垂敏"</f>
        <v>黄垂敏</v>
      </c>
      <c r="G179" s="5" t="str">
        <f t="shared" si="15"/>
        <v>女</v>
      </c>
      <c r="H179" s="5"/>
    </row>
    <row r="180" spans="1:8" ht="30" customHeight="1">
      <c r="A180" s="5">
        <v>178</v>
      </c>
      <c r="B180" s="5" t="str">
        <f>"519720230525112030143162"</f>
        <v>519720230525112030143162</v>
      </c>
      <c r="C180" s="5" t="s">
        <v>9</v>
      </c>
      <c r="D180" s="5" t="str">
        <f t="shared" si="10"/>
        <v>0102</v>
      </c>
      <c r="E180" s="5" t="s">
        <v>11</v>
      </c>
      <c r="F180" s="5" t="str">
        <f>"林芳媛"</f>
        <v>林芳媛</v>
      </c>
      <c r="G180" s="5" t="str">
        <f t="shared" si="15"/>
        <v>女</v>
      </c>
      <c r="H180" s="5"/>
    </row>
    <row r="181" spans="1:8" ht="30" customHeight="1">
      <c r="A181" s="5">
        <v>179</v>
      </c>
      <c r="B181" s="5" t="str">
        <f>"519720230523231250142919"</f>
        <v>519720230523231250142919</v>
      </c>
      <c r="C181" s="5" t="s">
        <v>9</v>
      </c>
      <c r="D181" s="5" t="str">
        <f t="shared" si="10"/>
        <v>0102</v>
      </c>
      <c r="E181" s="5" t="s">
        <v>11</v>
      </c>
      <c r="F181" s="5" t="str">
        <f>"李佳欣"</f>
        <v>李佳欣</v>
      </c>
      <c r="G181" s="5" t="str">
        <f t="shared" si="15"/>
        <v>女</v>
      </c>
      <c r="H181" s="5"/>
    </row>
    <row r="182" spans="1:8" ht="30" customHeight="1">
      <c r="A182" s="5">
        <v>180</v>
      </c>
      <c r="B182" s="5" t="str">
        <f>"519720230525121144143173"</f>
        <v>519720230525121144143173</v>
      </c>
      <c r="C182" s="5" t="s">
        <v>9</v>
      </c>
      <c r="D182" s="5" t="str">
        <f t="shared" si="10"/>
        <v>0102</v>
      </c>
      <c r="E182" s="5" t="s">
        <v>11</v>
      </c>
      <c r="F182" s="5" t="str">
        <f>"纪新照"</f>
        <v>纪新照</v>
      </c>
      <c r="G182" s="5" t="str">
        <f>"男"</f>
        <v>男</v>
      </c>
      <c r="H182" s="5"/>
    </row>
    <row r="183" spans="1:8" ht="30" customHeight="1">
      <c r="A183" s="5">
        <v>181</v>
      </c>
      <c r="B183" s="5" t="str">
        <f>"519720230525123827143174"</f>
        <v>519720230525123827143174</v>
      </c>
      <c r="C183" s="5" t="s">
        <v>9</v>
      </c>
      <c r="D183" s="5" t="str">
        <f t="shared" si="10"/>
        <v>0102</v>
      </c>
      <c r="E183" s="5" t="s">
        <v>11</v>
      </c>
      <c r="F183" s="5" t="str">
        <f>"苏娴"</f>
        <v>苏娴</v>
      </c>
      <c r="G183" s="5" t="str">
        <f aca="true" t="shared" si="16" ref="G183:G195">"女"</f>
        <v>女</v>
      </c>
      <c r="H183" s="5"/>
    </row>
    <row r="184" spans="1:8" ht="30" customHeight="1">
      <c r="A184" s="5">
        <v>182</v>
      </c>
      <c r="B184" s="5" t="str">
        <f>"519720230525133721143181"</f>
        <v>519720230525133721143181</v>
      </c>
      <c r="C184" s="5" t="s">
        <v>9</v>
      </c>
      <c r="D184" s="5" t="str">
        <f t="shared" si="10"/>
        <v>0102</v>
      </c>
      <c r="E184" s="5" t="s">
        <v>11</v>
      </c>
      <c r="F184" s="5" t="str">
        <f>"王乔"</f>
        <v>王乔</v>
      </c>
      <c r="G184" s="5" t="str">
        <f t="shared" si="16"/>
        <v>女</v>
      </c>
      <c r="H184" s="5"/>
    </row>
    <row r="185" spans="1:8" ht="30" customHeight="1">
      <c r="A185" s="5">
        <v>183</v>
      </c>
      <c r="B185" s="5" t="str">
        <f>"519720230525150538143193"</f>
        <v>519720230525150538143193</v>
      </c>
      <c r="C185" s="5" t="s">
        <v>9</v>
      </c>
      <c r="D185" s="5" t="str">
        <f t="shared" si="10"/>
        <v>0102</v>
      </c>
      <c r="E185" s="5" t="s">
        <v>11</v>
      </c>
      <c r="F185" s="5" t="str">
        <f>"陈钰"</f>
        <v>陈钰</v>
      </c>
      <c r="G185" s="5" t="str">
        <f t="shared" si="16"/>
        <v>女</v>
      </c>
      <c r="H185" s="5" t="s">
        <v>12</v>
      </c>
    </row>
    <row r="186" spans="1:8" ht="30" customHeight="1">
      <c r="A186" s="5">
        <v>184</v>
      </c>
      <c r="B186" s="5" t="str">
        <f>"519720230522092133142234"</f>
        <v>519720230522092133142234</v>
      </c>
      <c r="C186" s="5" t="s">
        <v>9</v>
      </c>
      <c r="D186" s="5" t="str">
        <f t="shared" si="10"/>
        <v>0102</v>
      </c>
      <c r="E186" s="5" t="s">
        <v>11</v>
      </c>
      <c r="F186" s="5" t="str">
        <f>"符家艳"</f>
        <v>符家艳</v>
      </c>
      <c r="G186" s="5" t="str">
        <f t="shared" si="16"/>
        <v>女</v>
      </c>
      <c r="H186" s="5"/>
    </row>
    <row r="187" spans="1:8" ht="30" customHeight="1">
      <c r="A187" s="5">
        <v>185</v>
      </c>
      <c r="B187" s="5" t="str">
        <f>"519720230525154123143203"</f>
        <v>519720230525154123143203</v>
      </c>
      <c r="C187" s="5" t="s">
        <v>9</v>
      </c>
      <c r="D187" s="5" t="str">
        <f t="shared" si="10"/>
        <v>0102</v>
      </c>
      <c r="E187" s="5" t="s">
        <v>11</v>
      </c>
      <c r="F187" s="5" t="str">
        <f>"陈玉花"</f>
        <v>陈玉花</v>
      </c>
      <c r="G187" s="5" t="str">
        <f t="shared" si="16"/>
        <v>女</v>
      </c>
      <c r="H187" s="5"/>
    </row>
    <row r="188" spans="1:8" ht="30" customHeight="1">
      <c r="A188" s="5">
        <v>186</v>
      </c>
      <c r="B188" s="5" t="str">
        <f>"519720230525154610143205"</f>
        <v>519720230525154610143205</v>
      </c>
      <c r="C188" s="5" t="s">
        <v>9</v>
      </c>
      <c r="D188" s="5" t="str">
        <f t="shared" si="10"/>
        <v>0102</v>
      </c>
      <c r="E188" s="5" t="s">
        <v>11</v>
      </c>
      <c r="F188" s="5" t="str">
        <f>"李选丽"</f>
        <v>李选丽</v>
      </c>
      <c r="G188" s="5" t="str">
        <f t="shared" si="16"/>
        <v>女</v>
      </c>
      <c r="H188" s="5"/>
    </row>
    <row r="189" spans="1:8" ht="30" customHeight="1">
      <c r="A189" s="5">
        <v>187</v>
      </c>
      <c r="B189" s="5" t="str">
        <f>"519720230523220525142904"</f>
        <v>519720230523220525142904</v>
      </c>
      <c r="C189" s="5" t="s">
        <v>9</v>
      </c>
      <c r="D189" s="5" t="str">
        <f t="shared" si="10"/>
        <v>0102</v>
      </c>
      <c r="E189" s="5" t="s">
        <v>11</v>
      </c>
      <c r="F189" s="5" t="str">
        <f>"王世妹"</f>
        <v>王世妹</v>
      </c>
      <c r="G189" s="5" t="str">
        <f t="shared" si="16"/>
        <v>女</v>
      </c>
      <c r="H189" s="5"/>
    </row>
    <row r="190" spans="1:8" ht="30" customHeight="1">
      <c r="A190" s="5">
        <v>188</v>
      </c>
      <c r="B190" s="5" t="str">
        <f>"519720230525160741143212"</f>
        <v>519720230525160741143212</v>
      </c>
      <c r="C190" s="5" t="s">
        <v>9</v>
      </c>
      <c r="D190" s="5" t="str">
        <f t="shared" si="10"/>
        <v>0102</v>
      </c>
      <c r="E190" s="5" t="s">
        <v>11</v>
      </c>
      <c r="F190" s="5" t="str">
        <f>"陈玉敏"</f>
        <v>陈玉敏</v>
      </c>
      <c r="G190" s="5" t="str">
        <f t="shared" si="16"/>
        <v>女</v>
      </c>
      <c r="H190" s="5"/>
    </row>
    <row r="191" spans="1:8" ht="30" customHeight="1">
      <c r="A191" s="5">
        <v>189</v>
      </c>
      <c r="B191" s="5" t="str">
        <f>"519720230525165123143222"</f>
        <v>519720230525165123143222</v>
      </c>
      <c r="C191" s="5" t="s">
        <v>9</v>
      </c>
      <c r="D191" s="5" t="str">
        <f t="shared" si="10"/>
        <v>0102</v>
      </c>
      <c r="E191" s="5" t="s">
        <v>11</v>
      </c>
      <c r="F191" s="5" t="str">
        <f>"吉秀秀"</f>
        <v>吉秀秀</v>
      </c>
      <c r="G191" s="5" t="str">
        <f t="shared" si="16"/>
        <v>女</v>
      </c>
      <c r="H191" s="5"/>
    </row>
    <row r="192" spans="1:8" ht="30" customHeight="1">
      <c r="A192" s="5">
        <v>190</v>
      </c>
      <c r="B192" s="5" t="str">
        <f>"519720230522114608142357"</f>
        <v>519720230522114608142357</v>
      </c>
      <c r="C192" s="5" t="s">
        <v>9</v>
      </c>
      <c r="D192" s="5" t="str">
        <f t="shared" si="10"/>
        <v>0102</v>
      </c>
      <c r="E192" s="5" t="s">
        <v>11</v>
      </c>
      <c r="F192" s="5" t="str">
        <f>"钱志娇"</f>
        <v>钱志娇</v>
      </c>
      <c r="G192" s="5" t="str">
        <f t="shared" si="16"/>
        <v>女</v>
      </c>
      <c r="H192" s="5"/>
    </row>
    <row r="193" spans="1:8" ht="30" customHeight="1">
      <c r="A193" s="5">
        <v>191</v>
      </c>
      <c r="B193" s="5" t="str">
        <f>"519720230524192948143073"</f>
        <v>519720230524192948143073</v>
      </c>
      <c r="C193" s="5" t="s">
        <v>9</v>
      </c>
      <c r="D193" s="5" t="str">
        <f t="shared" si="10"/>
        <v>0102</v>
      </c>
      <c r="E193" s="5" t="s">
        <v>11</v>
      </c>
      <c r="F193" s="5" t="str">
        <f>"李晓悦"</f>
        <v>李晓悦</v>
      </c>
      <c r="G193" s="5" t="str">
        <f t="shared" si="16"/>
        <v>女</v>
      </c>
      <c r="H193" s="5"/>
    </row>
    <row r="194" spans="1:8" ht="30" customHeight="1">
      <c r="A194" s="5">
        <v>192</v>
      </c>
      <c r="B194" s="5" t="str">
        <f>"519720230524223106143105"</f>
        <v>519720230524223106143105</v>
      </c>
      <c r="C194" s="5" t="s">
        <v>9</v>
      </c>
      <c r="D194" s="5" t="str">
        <f t="shared" si="10"/>
        <v>0102</v>
      </c>
      <c r="E194" s="5" t="s">
        <v>11</v>
      </c>
      <c r="F194" s="5" t="str">
        <f>"陈章叶"</f>
        <v>陈章叶</v>
      </c>
      <c r="G194" s="5" t="str">
        <f t="shared" si="16"/>
        <v>女</v>
      </c>
      <c r="H194" s="5"/>
    </row>
    <row r="195" spans="1:8" ht="30" customHeight="1">
      <c r="A195" s="5">
        <v>193</v>
      </c>
      <c r="B195" s="5" t="str">
        <f>"519720230523132114142751"</f>
        <v>519720230523132114142751</v>
      </c>
      <c r="C195" s="5" t="s">
        <v>9</v>
      </c>
      <c r="D195" s="5" t="str">
        <f t="shared" si="10"/>
        <v>0102</v>
      </c>
      <c r="E195" s="5" t="s">
        <v>11</v>
      </c>
      <c r="F195" s="5" t="str">
        <f>"符敏"</f>
        <v>符敏</v>
      </c>
      <c r="G195" s="5" t="str">
        <f t="shared" si="16"/>
        <v>女</v>
      </c>
      <c r="H195" s="5"/>
    </row>
    <row r="196" spans="1:8" ht="30" customHeight="1">
      <c r="A196" s="5">
        <v>194</v>
      </c>
      <c r="B196" s="5" t="str">
        <f>"519720230525211145143245"</f>
        <v>519720230525211145143245</v>
      </c>
      <c r="C196" s="5" t="s">
        <v>9</v>
      </c>
      <c r="D196" s="5" t="str">
        <f t="shared" si="10"/>
        <v>0102</v>
      </c>
      <c r="E196" s="5" t="s">
        <v>11</v>
      </c>
      <c r="F196" s="5" t="str">
        <f>"张年俊"</f>
        <v>张年俊</v>
      </c>
      <c r="G196" s="5" t="str">
        <f>"男"</f>
        <v>男</v>
      </c>
      <c r="H196" s="5"/>
    </row>
    <row r="197" spans="1:8" ht="30" customHeight="1">
      <c r="A197" s="5">
        <v>195</v>
      </c>
      <c r="B197" s="5" t="str">
        <f>"519720230525210040143242"</f>
        <v>519720230525210040143242</v>
      </c>
      <c r="C197" s="5" t="s">
        <v>9</v>
      </c>
      <c r="D197" s="5" t="str">
        <f t="shared" si="10"/>
        <v>0102</v>
      </c>
      <c r="E197" s="5" t="s">
        <v>11</v>
      </c>
      <c r="F197" s="5" t="str">
        <f>"符天恋"</f>
        <v>符天恋</v>
      </c>
      <c r="G197" s="5" t="str">
        <f aca="true" t="shared" si="17" ref="G197:G203">"女"</f>
        <v>女</v>
      </c>
      <c r="H197" s="5"/>
    </row>
    <row r="198" spans="1:8" ht="30" customHeight="1">
      <c r="A198" s="5">
        <v>196</v>
      </c>
      <c r="B198" s="5" t="str">
        <f>"519720230525155754143208"</f>
        <v>519720230525155754143208</v>
      </c>
      <c r="C198" s="5" t="s">
        <v>9</v>
      </c>
      <c r="D198" s="5" t="str">
        <f t="shared" si="10"/>
        <v>0102</v>
      </c>
      <c r="E198" s="5" t="s">
        <v>11</v>
      </c>
      <c r="F198" s="5" t="str">
        <f>"王高鹏"</f>
        <v>王高鹏</v>
      </c>
      <c r="G198" s="5" t="str">
        <f>"男"</f>
        <v>男</v>
      </c>
      <c r="H198" s="5"/>
    </row>
    <row r="199" spans="1:8" ht="30" customHeight="1">
      <c r="A199" s="5">
        <v>197</v>
      </c>
      <c r="B199" s="5" t="str">
        <f>"519720230525002959143118"</f>
        <v>519720230525002959143118</v>
      </c>
      <c r="C199" s="5" t="s">
        <v>9</v>
      </c>
      <c r="D199" s="5" t="str">
        <f t="shared" si="10"/>
        <v>0102</v>
      </c>
      <c r="E199" s="5" t="s">
        <v>11</v>
      </c>
      <c r="F199" s="5" t="str">
        <f>"杜政纯"</f>
        <v>杜政纯</v>
      </c>
      <c r="G199" s="5" t="str">
        <f t="shared" si="17"/>
        <v>女</v>
      </c>
      <c r="H199" s="5"/>
    </row>
    <row r="200" spans="1:8" ht="30" customHeight="1">
      <c r="A200" s="5">
        <v>198</v>
      </c>
      <c r="B200" s="5" t="str">
        <f>"519720230525222406143258"</f>
        <v>519720230525222406143258</v>
      </c>
      <c r="C200" s="5" t="s">
        <v>9</v>
      </c>
      <c r="D200" s="5" t="str">
        <f t="shared" si="10"/>
        <v>0102</v>
      </c>
      <c r="E200" s="5" t="s">
        <v>11</v>
      </c>
      <c r="F200" s="5" t="str">
        <f>"容芬"</f>
        <v>容芬</v>
      </c>
      <c r="G200" s="5" t="str">
        <f t="shared" si="17"/>
        <v>女</v>
      </c>
      <c r="H200" s="5"/>
    </row>
    <row r="201" spans="1:8" ht="30" customHeight="1">
      <c r="A201" s="5">
        <v>199</v>
      </c>
      <c r="B201" s="5" t="str">
        <f>"519720230525214322143253"</f>
        <v>519720230525214322143253</v>
      </c>
      <c r="C201" s="5" t="s">
        <v>9</v>
      </c>
      <c r="D201" s="5" t="str">
        <f t="shared" si="10"/>
        <v>0102</v>
      </c>
      <c r="E201" s="5" t="s">
        <v>11</v>
      </c>
      <c r="F201" s="5" t="str">
        <f>"单丽佳"</f>
        <v>单丽佳</v>
      </c>
      <c r="G201" s="5" t="str">
        <f t="shared" si="17"/>
        <v>女</v>
      </c>
      <c r="H201" s="5"/>
    </row>
    <row r="202" spans="1:8" ht="30" customHeight="1">
      <c r="A202" s="5">
        <v>200</v>
      </c>
      <c r="B202" s="5" t="str">
        <f>"519720230525225959143263"</f>
        <v>519720230525225959143263</v>
      </c>
      <c r="C202" s="5" t="s">
        <v>9</v>
      </c>
      <c r="D202" s="5" t="str">
        <f t="shared" si="10"/>
        <v>0102</v>
      </c>
      <c r="E202" s="5" t="s">
        <v>11</v>
      </c>
      <c r="F202" s="5" t="str">
        <f>"符紫凤"</f>
        <v>符紫凤</v>
      </c>
      <c r="G202" s="5" t="str">
        <f t="shared" si="17"/>
        <v>女</v>
      </c>
      <c r="H202" s="5"/>
    </row>
    <row r="203" spans="1:8" ht="30" customHeight="1">
      <c r="A203" s="5">
        <v>201</v>
      </c>
      <c r="B203" s="5" t="str">
        <f>"519720230525230748143265"</f>
        <v>519720230525230748143265</v>
      </c>
      <c r="C203" s="5" t="s">
        <v>9</v>
      </c>
      <c r="D203" s="5" t="str">
        <f t="shared" si="10"/>
        <v>0102</v>
      </c>
      <c r="E203" s="5" t="s">
        <v>11</v>
      </c>
      <c r="F203" s="5" t="str">
        <f>"张淑怡"</f>
        <v>张淑怡</v>
      </c>
      <c r="G203" s="5" t="str">
        <f t="shared" si="17"/>
        <v>女</v>
      </c>
      <c r="H203" s="5"/>
    </row>
    <row r="204" spans="1:8" ht="30" customHeight="1">
      <c r="A204" s="5">
        <v>202</v>
      </c>
      <c r="B204" s="5" t="str">
        <f>"519720230525231459143267"</f>
        <v>519720230525231459143267</v>
      </c>
      <c r="C204" s="5" t="s">
        <v>9</v>
      </c>
      <c r="D204" s="5" t="str">
        <f t="shared" si="10"/>
        <v>0102</v>
      </c>
      <c r="E204" s="5" t="s">
        <v>11</v>
      </c>
      <c r="F204" s="5" t="str">
        <f>"王涛"</f>
        <v>王涛</v>
      </c>
      <c r="G204" s="5" t="str">
        <f>"男"</f>
        <v>男</v>
      </c>
      <c r="H204" s="5"/>
    </row>
    <row r="205" spans="1:8" ht="30" customHeight="1">
      <c r="A205" s="5">
        <v>203</v>
      </c>
      <c r="B205" s="5" t="str">
        <f>"519720230525231802143268"</f>
        <v>519720230525231802143268</v>
      </c>
      <c r="C205" s="5" t="s">
        <v>9</v>
      </c>
      <c r="D205" s="5" t="str">
        <f t="shared" si="10"/>
        <v>0102</v>
      </c>
      <c r="E205" s="5" t="s">
        <v>11</v>
      </c>
      <c r="F205" s="5" t="str">
        <f>"杨琳洁"</f>
        <v>杨琳洁</v>
      </c>
      <c r="G205" s="5" t="str">
        <f aca="true" t="shared" si="18" ref="G205:G212">"女"</f>
        <v>女</v>
      </c>
      <c r="H205" s="5"/>
    </row>
    <row r="206" spans="1:8" ht="30" customHeight="1">
      <c r="A206" s="5">
        <v>204</v>
      </c>
      <c r="B206" s="5" t="str">
        <f>"519720230526015755143274"</f>
        <v>519720230526015755143274</v>
      </c>
      <c r="C206" s="5" t="s">
        <v>9</v>
      </c>
      <c r="D206" s="5" t="str">
        <f t="shared" si="10"/>
        <v>0102</v>
      </c>
      <c r="E206" s="5" t="s">
        <v>11</v>
      </c>
      <c r="F206" s="5" t="str">
        <f>"陈丁萍"</f>
        <v>陈丁萍</v>
      </c>
      <c r="G206" s="5" t="str">
        <f t="shared" si="18"/>
        <v>女</v>
      </c>
      <c r="H206" s="5"/>
    </row>
    <row r="207" spans="1:8" ht="30" customHeight="1">
      <c r="A207" s="5">
        <v>205</v>
      </c>
      <c r="B207" s="5" t="str">
        <f>"519720230526082428143275"</f>
        <v>519720230526082428143275</v>
      </c>
      <c r="C207" s="5" t="s">
        <v>9</v>
      </c>
      <c r="D207" s="5" t="str">
        <f t="shared" si="10"/>
        <v>0102</v>
      </c>
      <c r="E207" s="5" t="s">
        <v>11</v>
      </c>
      <c r="F207" s="5" t="str">
        <f>"李朝伦"</f>
        <v>李朝伦</v>
      </c>
      <c r="G207" s="5" t="str">
        <f t="shared" si="18"/>
        <v>女</v>
      </c>
      <c r="H207" s="5"/>
    </row>
    <row r="208" spans="1:8" ht="30" customHeight="1">
      <c r="A208" s="5">
        <v>206</v>
      </c>
      <c r="B208" s="5" t="str">
        <f>"519720230526090955143279"</f>
        <v>519720230526090955143279</v>
      </c>
      <c r="C208" s="5" t="s">
        <v>9</v>
      </c>
      <c r="D208" s="5" t="str">
        <f t="shared" si="10"/>
        <v>0102</v>
      </c>
      <c r="E208" s="5" t="s">
        <v>11</v>
      </c>
      <c r="F208" s="5" t="str">
        <f>"王陶珍"</f>
        <v>王陶珍</v>
      </c>
      <c r="G208" s="5" t="str">
        <f t="shared" si="18"/>
        <v>女</v>
      </c>
      <c r="H208" s="5"/>
    </row>
    <row r="209" spans="1:8" ht="30" customHeight="1">
      <c r="A209" s="5">
        <v>207</v>
      </c>
      <c r="B209" s="5" t="str">
        <f>"519720230526103910143295"</f>
        <v>519720230526103910143295</v>
      </c>
      <c r="C209" s="5" t="s">
        <v>9</v>
      </c>
      <c r="D209" s="5" t="str">
        <f t="shared" si="10"/>
        <v>0102</v>
      </c>
      <c r="E209" s="5" t="s">
        <v>11</v>
      </c>
      <c r="F209" s="5" t="str">
        <f>"吴梦捷"</f>
        <v>吴梦捷</v>
      </c>
      <c r="G209" s="5" t="str">
        <f t="shared" si="18"/>
        <v>女</v>
      </c>
      <c r="H209" s="5"/>
    </row>
    <row r="210" spans="1:8" ht="30" customHeight="1">
      <c r="A210" s="5">
        <v>208</v>
      </c>
      <c r="B210" s="5" t="str">
        <f>"519720230526095553143288"</f>
        <v>519720230526095553143288</v>
      </c>
      <c r="C210" s="5" t="s">
        <v>9</v>
      </c>
      <c r="D210" s="5" t="str">
        <f t="shared" si="10"/>
        <v>0102</v>
      </c>
      <c r="E210" s="5" t="s">
        <v>11</v>
      </c>
      <c r="F210" s="5" t="str">
        <f>"董敏雅"</f>
        <v>董敏雅</v>
      </c>
      <c r="G210" s="5" t="str">
        <f t="shared" si="18"/>
        <v>女</v>
      </c>
      <c r="H210" s="5"/>
    </row>
    <row r="211" spans="1:8" ht="30" customHeight="1">
      <c r="A211" s="5">
        <v>209</v>
      </c>
      <c r="B211" s="5" t="str">
        <f>"519720230522182345142540"</f>
        <v>519720230522182345142540</v>
      </c>
      <c r="C211" s="5" t="s">
        <v>9</v>
      </c>
      <c r="D211" s="5" t="str">
        <f t="shared" si="10"/>
        <v>0102</v>
      </c>
      <c r="E211" s="5" t="s">
        <v>11</v>
      </c>
      <c r="F211" s="5" t="str">
        <f>"李翠灵"</f>
        <v>李翠灵</v>
      </c>
      <c r="G211" s="5" t="str">
        <f t="shared" si="18"/>
        <v>女</v>
      </c>
      <c r="H211" s="5"/>
    </row>
    <row r="212" spans="1:8" ht="30" customHeight="1">
      <c r="A212" s="5">
        <v>210</v>
      </c>
      <c r="B212" s="5" t="str">
        <f>"519720230526090907143278"</f>
        <v>519720230526090907143278</v>
      </c>
      <c r="C212" s="5" t="s">
        <v>9</v>
      </c>
      <c r="D212" s="5" t="str">
        <f t="shared" si="10"/>
        <v>0102</v>
      </c>
      <c r="E212" s="5" t="s">
        <v>11</v>
      </c>
      <c r="F212" s="5" t="str">
        <f>"陈诗婷"</f>
        <v>陈诗婷</v>
      </c>
      <c r="G212" s="5" t="str">
        <f t="shared" si="18"/>
        <v>女</v>
      </c>
      <c r="H212" s="5"/>
    </row>
    <row r="213" spans="1:8" ht="30" customHeight="1">
      <c r="A213" s="5">
        <v>211</v>
      </c>
      <c r="B213" s="5" t="str">
        <f>"519720230524163835143041"</f>
        <v>519720230524163835143041</v>
      </c>
      <c r="C213" s="5" t="s">
        <v>9</v>
      </c>
      <c r="D213" s="5" t="str">
        <f t="shared" si="10"/>
        <v>0102</v>
      </c>
      <c r="E213" s="5" t="s">
        <v>11</v>
      </c>
      <c r="F213" s="5" t="str">
        <f>"周发锐"</f>
        <v>周发锐</v>
      </c>
      <c r="G213" s="5" t="str">
        <f>"男"</f>
        <v>男</v>
      </c>
      <c r="H213" s="5"/>
    </row>
    <row r="214" spans="1:8" ht="30" customHeight="1">
      <c r="A214" s="5">
        <v>212</v>
      </c>
      <c r="B214" s="5" t="str">
        <f>"519720230526152959143323"</f>
        <v>519720230526152959143323</v>
      </c>
      <c r="C214" s="5" t="s">
        <v>9</v>
      </c>
      <c r="D214" s="5" t="str">
        <f t="shared" si="10"/>
        <v>0102</v>
      </c>
      <c r="E214" s="5" t="s">
        <v>11</v>
      </c>
      <c r="F214" s="5" t="str">
        <f>"苟鑫华"</f>
        <v>苟鑫华</v>
      </c>
      <c r="G214" s="5" t="str">
        <f aca="true" t="shared" si="19" ref="G214:G218">"女"</f>
        <v>女</v>
      </c>
      <c r="H214" s="5"/>
    </row>
    <row r="215" spans="1:8" ht="30" customHeight="1">
      <c r="A215" s="5">
        <v>213</v>
      </c>
      <c r="B215" s="5" t="str">
        <f>"519720230526163057143334"</f>
        <v>519720230526163057143334</v>
      </c>
      <c r="C215" s="5" t="s">
        <v>9</v>
      </c>
      <c r="D215" s="5" t="str">
        <f t="shared" si="10"/>
        <v>0102</v>
      </c>
      <c r="E215" s="5" t="s">
        <v>11</v>
      </c>
      <c r="F215" s="5" t="str">
        <f>"王欣欣"</f>
        <v>王欣欣</v>
      </c>
      <c r="G215" s="5" t="str">
        <f t="shared" si="19"/>
        <v>女</v>
      </c>
      <c r="H215" s="5"/>
    </row>
    <row r="216" spans="1:8" ht="30" customHeight="1">
      <c r="A216" s="5">
        <v>214</v>
      </c>
      <c r="B216" s="5" t="str">
        <f>"519720230526114230143308"</f>
        <v>519720230526114230143308</v>
      </c>
      <c r="C216" s="5" t="s">
        <v>9</v>
      </c>
      <c r="D216" s="5" t="str">
        <f t="shared" si="10"/>
        <v>0102</v>
      </c>
      <c r="E216" s="5" t="s">
        <v>11</v>
      </c>
      <c r="F216" s="5" t="str">
        <f>"胡文炬"</f>
        <v>胡文炬</v>
      </c>
      <c r="G216" s="5" t="str">
        <f>"男"</f>
        <v>男</v>
      </c>
      <c r="H216" s="5"/>
    </row>
    <row r="217" spans="1:8" ht="30" customHeight="1">
      <c r="A217" s="5">
        <v>215</v>
      </c>
      <c r="B217" s="5" t="str">
        <f>"519720230526103345143294"</f>
        <v>519720230526103345143294</v>
      </c>
      <c r="C217" s="5" t="s">
        <v>9</v>
      </c>
      <c r="D217" s="5" t="str">
        <f t="shared" si="10"/>
        <v>0102</v>
      </c>
      <c r="E217" s="5" t="s">
        <v>11</v>
      </c>
      <c r="F217" s="5" t="str">
        <f>"杨元蕾"</f>
        <v>杨元蕾</v>
      </c>
      <c r="G217" s="5" t="str">
        <f t="shared" si="19"/>
        <v>女</v>
      </c>
      <c r="H217" s="5"/>
    </row>
    <row r="218" spans="1:8" ht="30" customHeight="1">
      <c r="A218" s="5">
        <v>216</v>
      </c>
      <c r="B218" s="5" t="str">
        <f>"519720230522221859142618"</f>
        <v>519720230522221859142618</v>
      </c>
      <c r="C218" s="5" t="s">
        <v>9</v>
      </c>
      <c r="D218" s="5" t="str">
        <f t="shared" si="10"/>
        <v>0102</v>
      </c>
      <c r="E218" s="5" t="s">
        <v>11</v>
      </c>
      <c r="F218" s="5" t="str">
        <f>"黄俊敏"</f>
        <v>黄俊敏</v>
      </c>
      <c r="G218" s="5" t="str">
        <f t="shared" si="19"/>
        <v>女</v>
      </c>
      <c r="H218" s="5"/>
    </row>
    <row r="219" spans="1:8" ht="30" customHeight="1">
      <c r="A219" s="5">
        <v>217</v>
      </c>
      <c r="B219" s="5" t="str">
        <f>"519720230524190025143070"</f>
        <v>519720230524190025143070</v>
      </c>
      <c r="C219" s="5" t="s">
        <v>9</v>
      </c>
      <c r="D219" s="5" t="str">
        <f t="shared" si="10"/>
        <v>0102</v>
      </c>
      <c r="E219" s="5" t="s">
        <v>11</v>
      </c>
      <c r="F219" s="5" t="str">
        <f>"邵勇"</f>
        <v>邵勇</v>
      </c>
      <c r="G219" s="5" t="str">
        <f>"男"</f>
        <v>男</v>
      </c>
      <c r="H219" s="5"/>
    </row>
    <row r="220" spans="1:8" ht="30" customHeight="1">
      <c r="A220" s="5">
        <v>218</v>
      </c>
      <c r="B220" s="5" t="str">
        <f>"519720230526191110143357"</f>
        <v>519720230526191110143357</v>
      </c>
      <c r="C220" s="5" t="s">
        <v>9</v>
      </c>
      <c r="D220" s="5" t="str">
        <f t="shared" si="10"/>
        <v>0102</v>
      </c>
      <c r="E220" s="5" t="s">
        <v>11</v>
      </c>
      <c r="F220" s="5" t="str">
        <f>"王后苗"</f>
        <v>王后苗</v>
      </c>
      <c r="G220" s="5" t="str">
        <f aca="true" t="shared" si="20" ref="G220:G222">"女"</f>
        <v>女</v>
      </c>
      <c r="H220" s="5"/>
    </row>
    <row r="221" spans="1:8" ht="30" customHeight="1">
      <c r="A221" s="5">
        <v>219</v>
      </c>
      <c r="B221" s="5" t="str">
        <f>"519720230526175517143351"</f>
        <v>519720230526175517143351</v>
      </c>
      <c r="C221" s="5" t="s">
        <v>9</v>
      </c>
      <c r="D221" s="5" t="str">
        <f t="shared" si="10"/>
        <v>0102</v>
      </c>
      <c r="E221" s="5" t="s">
        <v>11</v>
      </c>
      <c r="F221" s="5" t="str">
        <f>"冯萍"</f>
        <v>冯萍</v>
      </c>
      <c r="G221" s="5" t="str">
        <f t="shared" si="20"/>
        <v>女</v>
      </c>
      <c r="H221" s="5"/>
    </row>
    <row r="222" spans="1:8" ht="30" customHeight="1">
      <c r="A222" s="5">
        <v>220</v>
      </c>
      <c r="B222" s="5" t="str">
        <f>"519720230526191218143358"</f>
        <v>519720230526191218143358</v>
      </c>
      <c r="C222" s="5" t="s">
        <v>9</v>
      </c>
      <c r="D222" s="5" t="str">
        <f t="shared" si="10"/>
        <v>0102</v>
      </c>
      <c r="E222" s="5" t="s">
        <v>11</v>
      </c>
      <c r="F222" s="5" t="str">
        <f>"罗欣欣"</f>
        <v>罗欣欣</v>
      </c>
      <c r="G222" s="5" t="str">
        <f t="shared" si="20"/>
        <v>女</v>
      </c>
      <c r="H222" s="5"/>
    </row>
    <row r="223" spans="1:8" ht="30" customHeight="1">
      <c r="A223" s="5">
        <v>221</v>
      </c>
      <c r="B223" s="5" t="str">
        <f>"519720230523213950142896"</f>
        <v>519720230523213950142896</v>
      </c>
      <c r="C223" s="5" t="s">
        <v>9</v>
      </c>
      <c r="D223" s="5" t="str">
        <f aca="true" t="shared" si="21" ref="D223:D286">"0102"</f>
        <v>0102</v>
      </c>
      <c r="E223" s="5" t="s">
        <v>11</v>
      </c>
      <c r="F223" s="5" t="str">
        <f>"叶润泽"</f>
        <v>叶润泽</v>
      </c>
      <c r="G223" s="5" t="str">
        <f>"男"</f>
        <v>男</v>
      </c>
      <c r="H223" s="5"/>
    </row>
    <row r="224" spans="1:8" ht="30" customHeight="1">
      <c r="A224" s="5">
        <v>222</v>
      </c>
      <c r="B224" s="5" t="str">
        <f>"519720230525131949143179"</f>
        <v>519720230525131949143179</v>
      </c>
      <c r="C224" s="5" t="s">
        <v>9</v>
      </c>
      <c r="D224" s="5" t="str">
        <f t="shared" si="21"/>
        <v>0102</v>
      </c>
      <c r="E224" s="5" t="s">
        <v>11</v>
      </c>
      <c r="F224" s="5" t="str">
        <f>"邢虹"</f>
        <v>邢虹</v>
      </c>
      <c r="G224" s="5" t="str">
        <f aca="true" t="shared" si="22" ref="G224:G233">"女"</f>
        <v>女</v>
      </c>
      <c r="H224" s="5"/>
    </row>
    <row r="225" spans="1:8" ht="30" customHeight="1">
      <c r="A225" s="5">
        <v>223</v>
      </c>
      <c r="B225" s="5" t="str">
        <f>"519720230527092609143382"</f>
        <v>519720230527092609143382</v>
      </c>
      <c r="C225" s="5" t="s">
        <v>9</v>
      </c>
      <c r="D225" s="5" t="str">
        <f t="shared" si="21"/>
        <v>0102</v>
      </c>
      <c r="E225" s="5" t="s">
        <v>11</v>
      </c>
      <c r="F225" s="5" t="str">
        <f>"苏永柳"</f>
        <v>苏永柳</v>
      </c>
      <c r="G225" s="5" t="str">
        <f t="shared" si="22"/>
        <v>女</v>
      </c>
      <c r="H225" s="5"/>
    </row>
    <row r="226" spans="1:8" ht="30" customHeight="1">
      <c r="A226" s="5">
        <v>224</v>
      </c>
      <c r="B226" s="5" t="str">
        <f>"519720230527104951143391"</f>
        <v>519720230527104951143391</v>
      </c>
      <c r="C226" s="5" t="s">
        <v>9</v>
      </c>
      <c r="D226" s="5" t="str">
        <f t="shared" si="21"/>
        <v>0102</v>
      </c>
      <c r="E226" s="5" t="s">
        <v>11</v>
      </c>
      <c r="F226" s="5" t="str">
        <f>"黄海静"</f>
        <v>黄海静</v>
      </c>
      <c r="G226" s="5" t="str">
        <f t="shared" si="22"/>
        <v>女</v>
      </c>
      <c r="H226" s="5"/>
    </row>
    <row r="227" spans="1:8" ht="30" customHeight="1">
      <c r="A227" s="5">
        <v>225</v>
      </c>
      <c r="B227" s="5" t="str">
        <f>"519720230527151700143407"</f>
        <v>519720230527151700143407</v>
      </c>
      <c r="C227" s="5" t="s">
        <v>9</v>
      </c>
      <c r="D227" s="5" t="str">
        <f t="shared" si="21"/>
        <v>0102</v>
      </c>
      <c r="E227" s="5" t="s">
        <v>11</v>
      </c>
      <c r="F227" s="5" t="str">
        <f>"林培培"</f>
        <v>林培培</v>
      </c>
      <c r="G227" s="5" t="str">
        <f t="shared" si="22"/>
        <v>女</v>
      </c>
      <c r="H227" s="5"/>
    </row>
    <row r="228" spans="1:8" ht="30" customHeight="1">
      <c r="A228" s="5">
        <v>226</v>
      </c>
      <c r="B228" s="5" t="str">
        <f>"519720230527182040143417"</f>
        <v>519720230527182040143417</v>
      </c>
      <c r="C228" s="5" t="s">
        <v>9</v>
      </c>
      <c r="D228" s="5" t="str">
        <f t="shared" si="21"/>
        <v>0102</v>
      </c>
      <c r="E228" s="5" t="s">
        <v>11</v>
      </c>
      <c r="F228" s="5" t="str">
        <f>"陈伟芳"</f>
        <v>陈伟芳</v>
      </c>
      <c r="G228" s="5" t="str">
        <f t="shared" si="22"/>
        <v>女</v>
      </c>
      <c r="H228" s="5"/>
    </row>
    <row r="229" spans="1:8" ht="30" customHeight="1">
      <c r="A229" s="5">
        <v>227</v>
      </c>
      <c r="B229" s="5" t="str">
        <f>"519720230524194536143077"</f>
        <v>519720230524194536143077</v>
      </c>
      <c r="C229" s="5" t="s">
        <v>9</v>
      </c>
      <c r="D229" s="5" t="str">
        <f t="shared" si="21"/>
        <v>0102</v>
      </c>
      <c r="E229" s="5" t="s">
        <v>11</v>
      </c>
      <c r="F229" s="5" t="str">
        <f>"谢佳言"</f>
        <v>谢佳言</v>
      </c>
      <c r="G229" s="5" t="str">
        <f t="shared" si="22"/>
        <v>女</v>
      </c>
      <c r="H229" s="5"/>
    </row>
    <row r="230" spans="1:8" ht="30" customHeight="1">
      <c r="A230" s="5">
        <v>228</v>
      </c>
      <c r="B230" s="5" t="str">
        <f>"519720230523165838142825"</f>
        <v>519720230523165838142825</v>
      </c>
      <c r="C230" s="5" t="s">
        <v>9</v>
      </c>
      <c r="D230" s="5" t="str">
        <f t="shared" si="21"/>
        <v>0102</v>
      </c>
      <c r="E230" s="5" t="s">
        <v>11</v>
      </c>
      <c r="F230" s="5" t="str">
        <f>"陶璇"</f>
        <v>陶璇</v>
      </c>
      <c r="G230" s="5" t="str">
        <f t="shared" si="22"/>
        <v>女</v>
      </c>
      <c r="H230" s="5"/>
    </row>
    <row r="231" spans="1:8" ht="30" customHeight="1">
      <c r="A231" s="5">
        <v>229</v>
      </c>
      <c r="B231" s="5" t="str">
        <f>"519720230523151030142775"</f>
        <v>519720230523151030142775</v>
      </c>
      <c r="C231" s="5" t="s">
        <v>9</v>
      </c>
      <c r="D231" s="5" t="str">
        <f t="shared" si="21"/>
        <v>0102</v>
      </c>
      <c r="E231" s="5" t="s">
        <v>11</v>
      </c>
      <c r="F231" s="5" t="str">
        <f>"江圆圆"</f>
        <v>江圆圆</v>
      </c>
      <c r="G231" s="5" t="str">
        <f t="shared" si="22"/>
        <v>女</v>
      </c>
      <c r="H231" s="5"/>
    </row>
    <row r="232" spans="1:8" ht="30" customHeight="1">
      <c r="A232" s="5">
        <v>230</v>
      </c>
      <c r="B232" s="5" t="str">
        <f>"519720230527220335143428"</f>
        <v>519720230527220335143428</v>
      </c>
      <c r="C232" s="5" t="s">
        <v>9</v>
      </c>
      <c r="D232" s="5" t="str">
        <f t="shared" si="21"/>
        <v>0102</v>
      </c>
      <c r="E232" s="5" t="s">
        <v>11</v>
      </c>
      <c r="F232" s="5" t="str">
        <f>"陈秋岚"</f>
        <v>陈秋岚</v>
      </c>
      <c r="G232" s="5" t="str">
        <f t="shared" si="22"/>
        <v>女</v>
      </c>
      <c r="H232" s="5"/>
    </row>
    <row r="233" spans="1:8" ht="30" customHeight="1">
      <c r="A233" s="5">
        <v>231</v>
      </c>
      <c r="B233" s="5" t="str">
        <f>"519720230527223513143430"</f>
        <v>519720230527223513143430</v>
      </c>
      <c r="C233" s="5" t="s">
        <v>9</v>
      </c>
      <c r="D233" s="5" t="str">
        <f t="shared" si="21"/>
        <v>0102</v>
      </c>
      <c r="E233" s="5" t="s">
        <v>11</v>
      </c>
      <c r="F233" s="5" t="str">
        <f>"李业霜"</f>
        <v>李业霜</v>
      </c>
      <c r="G233" s="5" t="str">
        <f t="shared" si="22"/>
        <v>女</v>
      </c>
      <c r="H233" s="5"/>
    </row>
    <row r="234" spans="1:8" ht="30" customHeight="1">
      <c r="A234" s="5">
        <v>232</v>
      </c>
      <c r="B234" s="5" t="str">
        <f>"519720230527202819143421"</f>
        <v>519720230527202819143421</v>
      </c>
      <c r="C234" s="5" t="s">
        <v>9</v>
      </c>
      <c r="D234" s="5" t="str">
        <f t="shared" si="21"/>
        <v>0102</v>
      </c>
      <c r="E234" s="5" t="s">
        <v>11</v>
      </c>
      <c r="F234" s="5" t="str">
        <f>"李枕威"</f>
        <v>李枕威</v>
      </c>
      <c r="G234" s="5" t="str">
        <f>"男"</f>
        <v>男</v>
      </c>
      <c r="H234" s="5"/>
    </row>
    <row r="235" spans="1:8" ht="30" customHeight="1">
      <c r="A235" s="5">
        <v>233</v>
      </c>
      <c r="B235" s="5" t="str">
        <f>"519720230523202316142881"</f>
        <v>519720230523202316142881</v>
      </c>
      <c r="C235" s="5" t="s">
        <v>9</v>
      </c>
      <c r="D235" s="5" t="str">
        <f t="shared" si="21"/>
        <v>0102</v>
      </c>
      <c r="E235" s="5" t="s">
        <v>11</v>
      </c>
      <c r="F235" s="5" t="str">
        <f>"黎晓洁"</f>
        <v>黎晓洁</v>
      </c>
      <c r="G235" s="5" t="str">
        <f>"女"</f>
        <v>女</v>
      </c>
      <c r="H235" s="5"/>
    </row>
    <row r="236" spans="1:8" ht="30" customHeight="1">
      <c r="A236" s="5">
        <v>234</v>
      </c>
      <c r="B236" s="5" t="str">
        <f>"519720230528111405143452"</f>
        <v>519720230528111405143452</v>
      </c>
      <c r="C236" s="5" t="s">
        <v>9</v>
      </c>
      <c r="D236" s="5" t="str">
        <f t="shared" si="21"/>
        <v>0102</v>
      </c>
      <c r="E236" s="5" t="s">
        <v>11</v>
      </c>
      <c r="F236" s="5" t="str">
        <f>"李艳萍"</f>
        <v>李艳萍</v>
      </c>
      <c r="G236" s="5" t="str">
        <f>"女"</f>
        <v>女</v>
      </c>
      <c r="H236" s="5"/>
    </row>
    <row r="237" spans="1:8" ht="30" customHeight="1">
      <c r="A237" s="5">
        <v>235</v>
      </c>
      <c r="B237" s="5" t="str">
        <f>"519720230527155103143409"</f>
        <v>519720230527155103143409</v>
      </c>
      <c r="C237" s="5" t="s">
        <v>9</v>
      </c>
      <c r="D237" s="5" t="str">
        <f t="shared" si="21"/>
        <v>0102</v>
      </c>
      <c r="E237" s="5" t="s">
        <v>11</v>
      </c>
      <c r="F237" s="5" t="str">
        <f>"曾维成"</f>
        <v>曾维成</v>
      </c>
      <c r="G237" s="5" t="str">
        <f>"男"</f>
        <v>男</v>
      </c>
      <c r="H237" s="5"/>
    </row>
    <row r="238" spans="1:8" ht="30" customHeight="1">
      <c r="A238" s="5">
        <v>236</v>
      </c>
      <c r="B238" s="5" t="str">
        <f>"519720230523214214142897"</f>
        <v>519720230523214214142897</v>
      </c>
      <c r="C238" s="5" t="s">
        <v>9</v>
      </c>
      <c r="D238" s="5" t="str">
        <f t="shared" si="21"/>
        <v>0102</v>
      </c>
      <c r="E238" s="5" t="s">
        <v>11</v>
      </c>
      <c r="F238" s="5" t="str">
        <f>"黄瀚德"</f>
        <v>黄瀚德</v>
      </c>
      <c r="G238" s="5" t="str">
        <f>"男"</f>
        <v>男</v>
      </c>
      <c r="H238" s="5"/>
    </row>
    <row r="239" spans="1:8" ht="30" customHeight="1">
      <c r="A239" s="5">
        <v>237</v>
      </c>
      <c r="B239" s="5" t="str">
        <f>"519720230528144245143464"</f>
        <v>519720230528144245143464</v>
      </c>
      <c r="C239" s="5" t="s">
        <v>9</v>
      </c>
      <c r="D239" s="5" t="str">
        <f t="shared" si="21"/>
        <v>0102</v>
      </c>
      <c r="E239" s="5" t="s">
        <v>11</v>
      </c>
      <c r="F239" s="5" t="str">
        <f>"林铖"</f>
        <v>林铖</v>
      </c>
      <c r="G239" s="5" t="str">
        <f>"男"</f>
        <v>男</v>
      </c>
      <c r="H239" s="5"/>
    </row>
    <row r="240" spans="1:8" ht="30" customHeight="1">
      <c r="A240" s="5">
        <v>238</v>
      </c>
      <c r="B240" s="5" t="str">
        <f>"519720230528210509143488"</f>
        <v>519720230528210509143488</v>
      </c>
      <c r="C240" s="5" t="s">
        <v>9</v>
      </c>
      <c r="D240" s="5" t="str">
        <f t="shared" si="21"/>
        <v>0102</v>
      </c>
      <c r="E240" s="5" t="s">
        <v>11</v>
      </c>
      <c r="F240" s="5" t="str">
        <f>"裴玉妃"</f>
        <v>裴玉妃</v>
      </c>
      <c r="G240" s="5" t="str">
        <f>"女"</f>
        <v>女</v>
      </c>
      <c r="H240" s="5"/>
    </row>
    <row r="241" spans="1:8" ht="30" customHeight="1">
      <c r="A241" s="5">
        <v>239</v>
      </c>
      <c r="B241" s="5" t="str">
        <f>"519720230528200113143486"</f>
        <v>519720230528200113143486</v>
      </c>
      <c r="C241" s="5" t="s">
        <v>9</v>
      </c>
      <c r="D241" s="5" t="str">
        <f t="shared" si="21"/>
        <v>0102</v>
      </c>
      <c r="E241" s="5" t="s">
        <v>11</v>
      </c>
      <c r="F241" s="5" t="str">
        <f>"闫雅宁"</f>
        <v>闫雅宁</v>
      </c>
      <c r="G241" s="5" t="str">
        <f>"女"</f>
        <v>女</v>
      </c>
      <c r="H241" s="5"/>
    </row>
    <row r="242" spans="1:8" ht="30" customHeight="1">
      <c r="A242" s="5">
        <v>240</v>
      </c>
      <c r="B242" s="5" t="str">
        <f>"519720230525160028143209"</f>
        <v>519720230525160028143209</v>
      </c>
      <c r="C242" s="5" t="s">
        <v>9</v>
      </c>
      <c r="D242" s="5" t="str">
        <f t="shared" si="21"/>
        <v>0102</v>
      </c>
      <c r="E242" s="5" t="s">
        <v>11</v>
      </c>
      <c r="F242" s="5" t="str">
        <f>"范思懿"</f>
        <v>范思懿</v>
      </c>
      <c r="G242" s="5" t="str">
        <f>"男"</f>
        <v>男</v>
      </c>
      <c r="H242" s="5"/>
    </row>
    <row r="243" spans="1:8" ht="30" customHeight="1">
      <c r="A243" s="5">
        <v>241</v>
      </c>
      <c r="B243" s="5" t="str">
        <f>"519720230528221751143489"</f>
        <v>519720230528221751143489</v>
      </c>
      <c r="C243" s="5" t="s">
        <v>9</v>
      </c>
      <c r="D243" s="5" t="str">
        <f t="shared" si="21"/>
        <v>0102</v>
      </c>
      <c r="E243" s="5" t="s">
        <v>11</v>
      </c>
      <c r="F243" s="5" t="str">
        <f>"于民袖"</f>
        <v>于民袖</v>
      </c>
      <c r="G243" s="5" t="str">
        <f>"男"</f>
        <v>男</v>
      </c>
      <c r="H243" s="5"/>
    </row>
    <row r="244" spans="1:8" ht="30" customHeight="1">
      <c r="A244" s="5">
        <v>242</v>
      </c>
      <c r="B244" s="5" t="str">
        <f>"519720230528231516143496"</f>
        <v>519720230528231516143496</v>
      </c>
      <c r="C244" s="5" t="s">
        <v>9</v>
      </c>
      <c r="D244" s="5" t="str">
        <f t="shared" si="21"/>
        <v>0102</v>
      </c>
      <c r="E244" s="5" t="s">
        <v>11</v>
      </c>
      <c r="F244" s="5" t="str">
        <f>"钟语嫣"</f>
        <v>钟语嫣</v>
      </c>
      <c r="G244" s="5" t="str">
        <f>"女"</f>
        <v>女</v>
      </c>
      <c r="H244" s="5"/>
    </row>
    <row r="245" spans="1:8" ht="30" customHeight="1">
      <c r="A245" s="5">
        <v>243</v>
      </c>
      <c r="B245" s="5" t="str">
        <f>"519720230526173836143347"</f>
        <v>519720230526173836143347</v>
      </c>
      <c r="C245" s="5" t="s">
        <v>9</v>
      </c>
      <c r="D245" s="5" t="str">
        <f t="shared" si="21"/>
        <v>0102</v>
      </c>
      <c r="E245" s="5" t="s">
        <v>11</v>
      </c>
      <c r="F245" s="5" t="str">
        <f>"翟宏慧"</f>
        <v>翟宏慧</v>
      </c>
      <c r="G245" s="5" t="str">
        <f>"女"</f>
        <v>女</v>
      </c>
      <c r="H245" s="5"/>
    </row>
    <row r="246" spans="1:8" ht="30" customHeight="1">
      <c r="A246" s="5">
        <v>244</v>
      </c>
      <c r="B246" s="5" t="str">
        <f>"519720230525145340143189"</f>
        <v>519720230525145340143189</v>
      </c>
      <c r="C246" s="5" t="s">
        <v>9</v>
      </c>
      <c r="D246" s="5" t="str">
        <f t="shared" si="21"/>
        <v>0102</v>
      </c>
      <c r="E246" s="5" t="s">
        <v>11</v>
      </c>
      <c r="F246" s="5" t="str">
        <f>"郭绍远"</f>
        <v>郭绍远</v>
      </c>
      <c r="G246" s="5" t="str">
        <f>"男"</f>
        <v>男</v>
      </c>
      <c r="H246" s="5"/>
    </row>
    <row r="247" spans="1:8" ht="30" customHeight="1">
      <c r="A247" s="5">
        <v>245</v>
      </c>
      <c r="B247" s="5" t="str">
        <f>"519720230522090448142217"</f>
        <v>519720230522090448142217</v>
      </c>
      <c r="C247" s="5" t="s">
        <v>9</v>
      </c>
      <c r="D247" s="5" t="str">
        <f t="shared" si="21"/>
        <v>0102</v>
      </c>
      <c r="E247" s="5" t="s">
        <v>11</v>
      </c>
      <c r="F247" s="5" t="str">
        <f>"林可盈"</f>
        <v>林可盈</v>
      </c>
      <c r="G247" s="5" t="str">
        <f>"女"</f>
        <v>女</v>
      </c>
      <c r="H247" s="5"/>
    </row>
    <row r="248" spans="1:8" ht="30" customHeight="1">
      <c r="A248" s="5">
        <v>246</v>
      </c>
      <c r="B248" s="5" t="str">
        <f>"519720230526084710143276"</f>
        <v>519720230526084710143276</v>
      </c>
      <c r="C248" s="5" t="s">
        <v>9</v>
      </c>
      <c r="D248" s="5" t="str">
        <f t="shared" si="21"/>
        <v>0102</v>
      </c>
      <c r="E248" s="5" t="s">
        <v>11</v>
      </c>
      <c r="F248" s="5" t="str">
        <f>"韦良宗"</f>
        <v>韦良宗</v>
      </c>
      <c r="G248" s="5" t="str">
        <f>"男"</f>
        <v>男</v>
      </c>
      <c r="H248" s="5"/>
    </row>
    <row r="249" spans="1:8" ht="30" customHeight="1">
      <c r="A249" s="5">
        <v>247</v>
      </c>
      <c r="B249" s="5" t="str">
        <f>"519720230529102515143578"</f>
        <v>519720230529102515143578</v>
      </c>
      <c r="C249" s="5" t="s">
        <v>9</v>
      </c>
      <c r="D249" s="5" t="str">
        <f t="shared" si="21"/>
        <v>0102</v>
      </c>
      <c r="E249" s="5" t="s">
        <v>11</v>
      </c>
      <c r="F249" s="5" t="str">
        <f>"陈晓凌"</f>
        <v>陈晓凌</v>
      </c>
      <c r="G249" s="5" t="str">
        <f>"女"</f>
        <v>女</v>
      </c>
      <c r="H249" s="5"/>
    </row>
    <row r="250" spans="1:8" ht="30" customHeight="1">
      <c r="A250" s="5">
        <v>248</v>
      </c>
      <c r="B250" s="5" t="str">
        <f>"519720230529095745143554"</f>
        <v>519720230529095745143554</v>
      </c>
      <c r="C250" s="5" t="s">
        <v>9</v>
      </c>
      <c r="D250" s="5" t="str">
        <f t="shared" si="21"/>
        <v>0102</v>
      </c>
      <c r="E250" s="5" t="s">
        <v>11</v>
      </c>
      <c r="F250" s="5" t="str">
        <f>"李尚真"</f>
        <v>李尚真</v>
      </c>
      <c r="G250" s="5" t="str">
        <f>"女"</f>
        <v>女</v>
      </c>
      <c r="H250" s="5"/>
    </row>
    <row r="251" spans="1:8" ht="30" customHeight="1">
      <c r="A251" s="5">
        <v>249</v>
      </c>
      <c r="B251" s="5" t="str">
        <f>"519720230524120513142997"</f>
        <v>519720230524120513142997</v>
      </c>
      <c r="C251" s="5" t="s">
        <v>9</v>
      </c>
      <c r="D251" s="5" t="str">
        <f t="shared" si="21"/>
        <v>0102</v>
      </c>
      <c r="E251" s="5" t="s">
        <v>11</v>
      </c>
      <c r="F251" s="5" t="str">
        <f>"吉才严"</f>
        <v>吉才严</v>
      </c>
      <c r="G251" s="5" t="str">
        <f>"男"</f>
        <v>男</v>
      </c>
      <c r="H251" s="5"/>
    </row>
    <row r="252" spans="1:8" ht="30" customHeight="1">
      <c r="A252" s="5">
        <v>250</v>
      </c>
      <c r="B252" s="5" t="str">
        <f>"519720230529143953143653"</f>
        <v>519720230529143953143653</v>
      </c>
      <c r="C252" s="5" t="s">
        <v>9</v>
      </c>
      <c r="D252" s="5" t="str">
        <f t="shared" si="21"/>
        <v>0102</v>
      </c>
      <c r="E252" s="5" t="s">
        <v>11</v>
      </c>
      <c r="F252" s="5" t="str">
        <f>"赵婉彤"</f>
        <v>赵婉彤</v>
      </c>
      <c r="G252" s="5" t="str">
        <f>"女"</f>
        <v>女</v>
      </c>
      <c r="H252" s="5"/>
    </row>
    <row r="253" spans="1:8" ht="30" customHeight="1">
      <c r="A253" s="5">
        <v>251</v>
      </c>
      <c r="B253" s="5" t="str">
        <f>"519720230522105748142321"</f>
        <v>519720230522105748142321</v>
      </c>
      <c r="C253" s="5" t="s">
        <v>9</v>
      </c>
      <c r="D253" s="5" t="str">
        <f t="shared" si="21"/>
        <v>0102</v>
      </c>
      <c r="E253" s="5" t="s">
        <v>11</v>
      </c>
      <c r="F253" s="5" t="str">
        <f>"左罗双玉"</f>
        <v>左罗双玉</v>
      </c>
      <c r="G253" s="5" t="str">
        <f>"女"</f>
        <v>女</v>
      </c>
      <c r="H253" s="5"/>
    </row>
    <row r="254" spans="1:8" ht="30" customHeight="1">
      <c r="A254" s="5">
        <v>252</v>
      </c>
      <c r="B254" s="5" t="str">
        <f>"519720230529180315143736"</f>
        <v>519720230529180315143736</v>
      </c>
      <c r="C254" s="5" t="s">
        <v>9</v>
      </c>
      <c r="D254" s="5" t="str">
        <f t="shared" si="21"/>
        <v>0102</v>
      </c>
      <c r="E254" s="5" t="s">
        <v>11</v>
      </c>
      <c r="F254" s="5" t="str">
        <f>"何彬"</f>
        <v>何彬</v>
      </c>
      <c r="G254" s="5" t="str">
        <f>"男"</f>
        <v>男</v>
      </c>
      <c r="H254" s="5"/>
    </row>
    <row r="255" spans="1:8" ht="30" customHeight="1">
      <c r="A255" s="5">
        <v>253</v>
      </c>
      <c r="B255" s="5" t="str">
        <f>"519720230529185912143756"</f>
        <v>519720230529185912143756</v>
      </c>
      <c r="C255" s="5" t="s">
        <v>9</v>
      </c>
      <c r="D255" s="5" t="str">
        <f t="shared" si="21"/>
        <v>0102</v>
      </c>
      <c r="E255" s="5" t="s">
        <v>11</v>
      </c>
      <c r="F255" s="5" t="str">
        <f>"祁庆"</f>
        <v>祁庆</v>
      </c>
      <c r="G255" s="5" t="str">
        <f>"女"</f>
        <v>女</v>
      </c>
      <c r="H255" s="5"/>
    </row>
    <row r="256" spans="1:8" ht="30" customHeight="1">
      <c r="A256" s="5">
        <v>254</v>
      </c>
      <c r="B256" s="5" t="str">
        <f>"519720230525161507143214"</f>
        <v>519720230525161507143214</v>
      </c>
      <c r="C256" s="5" t="s">
        <v>9</v>
      </c>
      <c r="D256" s="5" t="str">
        <f t="shared" si="21"/>
        <v>0102</v>
      </c>
      <c r="E256" s="5" t="s">
        <v>11</v>
      </c>
      <c r="F256" s="5" t="str">
        <f>"潘春俐"</f>
        <v>潘春俐</v>
      </c>
      <c r="G256" s="5" t="str">
        <f>"女"</f>
        <v>女</v>
      </c>
      <c r="H256" s="5"/>
    </row>
    <row r="257" spans="1:8" ht="30" customHeight="1">
      <c r="A257" s="5">
        <v>255</v>
      </c>
      <c r="B257" s="5" t="str">
        <f>"519720230529202825143797"</f>
        <v>519720230529202825143797</v>
      </c>
      <c r="C257" s="5" t="s">
        <v>9</v>
      </c>
      <c r="D257" s="5" t="str">
        <f t="shared" si="21"/>
        <v>0102</v>
      </c>
      <c r="E257" s="5" t="s">
        <v>11</v>
      </c>
      <c r="F257" s="5" t="str">
        <f>"阮丹霞"</f>
        <v>阮丹霞</v>
      </c>
      <c r="G257" s="5" t="str">
        <f>"女"</f>
        <v>女</v>
      </c>
      <c r="H257" s="5"/>
    </row>
    <row r="258" spans="1:8" ht="30" customHeight="1">
      <c r="A258" s="5">
        <v>256</v>
      </c>
      <c r="B258" s="5" t="str">
        <f>"519720230522151027142428"</f>
        <v>519720230522151027142428</v>
      </c>
      <c r="C258" s="5" t="s">
        <v>9</v>
      </c>
      <c r="D258" s="5" t="str">
        <f t="shared" si="21"/>
        <v>0102</v>
      </c>
      <c r="E258" s="5" t="s">
        <v>11</v>
      </c>
      <c r="F258" s="5" t="str">
        <f>"刘硕文"</f>
        <v>刘硕文</v>
      </c>
      <c r="G258" s="5" t="str">
        <f>"男"</f>
        <v>男</v>
      </c>
      <c r="H258" s="5"/>
    </row>
    <row r="259" spans="1:8" ht="30" customHeight="1">
      <c r="A259" s="5">
        <v>257</v>
      </c>
      <c r="B259" s="5" t="str">
        <f>"519720230529174148143732"</f>
        <v>519720230529174148143732</v>
      </c>
      <c r="C259" s="5" t="s">
        <v>9</v>
      </c>
      <c r="D259" s="5" t="str">
        <f t="shared" si="21"/>
        <v>0102</v>
      </c>
      <c r="E259" s="5" t="s">
        <v>11</v>
      </c>
      <c r="F259" s="5" t="str">
        <f>"符华艳"</f>
        <v>符华艳</v>
      </c>
      <c r="G259" s="5" t="str">
        <f aca="true" t="shared" si="23" ref="G259:G267">"女"</f>
        <v>女</v>
      </c>
      <c r="H259" s="5"/>
    </row>
    <row r="260" spans="1:8" ht="30" customHeight="1">
      <c r="A260" s="5">
        <v>258</v>
      </c>
      <c r="B260" s="5" t="str">
        <f>"519720230528223728143491"</f>
        <v>519720230528223728143491</v>
      </c>
      <c r="C260" s="5" t="s">
        <v>9</v>
      </c>
      <c r="D260" s="5" t="str">
        <f t="shared" si="21"/>
        <v>0102</v>
      </c>
      <c r="E260" s="5" t="s">
        <v>11</v>
      </c>
      <c r="F260" s="5" t="str">
        <f>"李桂娟"</f>
        <v>李桂娟</v>
      </c>
      <c r="G260" s="5" t="str">
        <f t="shared" si="23"/>
        <v>女</v>
      </c>
      <c r="H260" s="5"/>
    </row>
    <row r="261" spans="1:8" ht="30" customHeight="1">
      <c r="A261" s="5">
        <v>259</v>
      </c>
      <c r="B261" s="5" t="str">
        <f>"519720230525222344143257"</f>
        <v>519720230525222344143257</v>
      </c>
      <c r="C261" s="5" t="s">
        <v>9</v>
      </c>
      <c r="D261" s="5" t="str">
        <f t="shared" si="21"/>
        <v>0102</v>
      </c>
      <c r="E261" s="5" t="s">
        <v>11</v>
      </c>
      <c r="F261" s="5" t="str">
        <f>"李欢"</f>
        <v>李欢</v>
      </c>
      <c r="G261" s="5" t="str">
        <f t="shared" si="23"/>
        <v>女</v>
      </c>
      <c r="H261" s="5"/>
    </row>
    <row r="262" spans="1:8" ht="30" customHeight="1">
      <c r="A262" s="5">
        <v>260</v>
      </c>
      <c r="B262" s="5" t="str">
        <f>"519720230529230101143858"</f>
        <v>519720230529230101143858</v>
      </c>
      <c r="C262" s="5" t="s">
        <v>9</v>
      </c>
      <c r="D262" s="5" t="str">
        <f t="shared" si="21"/>
        <v>0102</v>
      </c>
      <c r="E262" s="5" t="s">
        <v>11</v>
      </c>
      <c r="F262" s="5" t="str">
        <f>"刘秋丽"</f>
        <v>刘秋丽</v>
      </c>
      <c r="G262" s="5" t="str">
        <f t="shared" si="23"/>
        <v>女</v>
      </c>
      <c r="H262" s="5"/>
    </row>
    <row r="263" spans="1:8" ht="30" customHeight="1">
      <c r="A263" s="5">
        <v>261</v>
      </c>
      <c r="B263" s="5" t="str">
        <f>"519720230524224147143108"</f>
        <v>519720230524224147143108</v>
      </c>
      <c r="C263" s="5" t="s">
        <v>9</v>
      </c>
      <c r="D263" s="5" t="str">
        <f t="shared" si="21"/>
        <v>0102</v>
      </c>
      <c r="E263" s="5" t="s">
        <v>11</v>
      </c>
      <c r="F263" s="5" t="str">
        <f>"韩娟"</f>
        <v>韩娟</v>
      </c>
      <c r="G263" s="5" t="str">
        <f t="shared" si="23"/>
        <v>女</v>
      </c>
      <c r="H263" s="5"/>
    </row>
    <row r="264" spans="1:8" ht="30" customHeight="1">
      <c r="A264" s="5">
        <v>262</v>
      </c>
      <c r="B264" s="5" t="str">
        <f>"519720230522094144142261"</f>
        <v>519720230522094144142261</v>
      </c>
      <c r="C264" s="5" t="s">
        <v>9</v>
      </c>
      <c r="D264" s="5" t="str">
        <f t="shared" si="21"/>
        <v>0102</v>
      </c>
      <c r="E264" s="5" t="s">
        <v>11</v>
      </c>
      <c r="F264" s="5" t="str">
        <f>"蔡瑞敏"</f>
        <v>蔡瑞敏</v>
      </c>
      <c r="G264" s="5" t="str">
        <f t="shared" si="23"/>
        <v>女</v>
      </c>
      <c r="H264" s="5"/>
    </row>
    <row r="265" spans="1:8" ht="30" customHeight="1">
      <c r="A265" s="5">
        <v>263</v>
      </c>
      <c r="B265" s="5" t="str">
        <f>"519720230530095027143913"</f>
        <v>519720230530095027143913</v>
      </c>
      <c r="C265" s="5" t="s">
        <v>9</v>
      </c>
      <c r="D265" s="5" t="str">
        <f t="shared" si="21"/>
        <v>0102</v>
      </c>
      <c r="E265" s="5" t="s">
        <v>11</v>
      </c>
      <c r="F265" s="5" t="str">
        <f>"辛昌惠"</f>
        <v>辛昌惠</v>
      </c>
      <c r="G265" s="5" t="str">
        <f t="shared" si="23"/>
        <v>女</v>
      </c>
      <c r="H265" s="5"/>
    </row>
    <row r="266" spans="1:8" ht="30" customHeight="1">
      <c r="A266" s="5">
        <v>264</v>
      </c>
      <c r="B266" s="5" t="str">
        <f>"519720230530094342143909"</f>
        <v>519720230530094342143909</v>
      </c>
      <c r="C266" s="5" t="s">
        <v>9</v>
      </c>
      <c r="D266" s="5" t="str">
        <f t="shared" si="21"/>
        <v>0102</v>
      </c>
      <c r="E266" s="5" t="s">
        <v>11</v>
      </c>
      <c r="F266" s="5" t="str">
        <f>"陈锦华"</f>
        <v>陈锦华</v>
      </c>
      <c r="G266" s="5" t="str">
        <f t="shared" si="23"/>
        <v>女</v>
      </c>
      <c r="H266" s="5"/>
    </row>
    <row r="267" spans="1:8" ht="30" customHeight="1">
      <c r="A267" s="5">
        <v>265</v>
      </c>
      <c r="B267" s="5" t="str">
        <f>"519720230530112311143947"</f>
        <v>519720230530112311143947</v>
      </c>
      <c r="C267" s="5" t="s">
        <v>9</v>
      </c>
      <c r="D267" s="5" t="str">
        <f t="shared" si="21"/>
        <v>0102</v>
      </c>
      <c r="E267" s="5" t="s">
        <v>11</v>
      </c>
      <c r="F267" s="5" t="str">
        <f>"李佳凝"</f>
        <v>李佳凝</v>
      </c>
      <c r="G267" s="5" t="str">
        <f t="shared" si="23"/>
        <v>女</v>
      </c>
      <c r="H267" s="5"/>
    </row>
    <row r="268" spans="1:8" ht="30" customHeight="1">
      <c r="A268" s="5">
        <v>266</v>
      </c>
      <c r="B268" s="5" t="str">
        <f>"519720230530104408143938"</f>
        <v>519720230530104408143938</v>
      </c>
      <c r="C268" s="5" t="s">
        <v>9</v>
      </c>
      <c r="D268" s="5" t="str">
        <f t="shared" si="21"/>
        <v>0102</v>
      </c>
      <c r="E268" s="5" t="s">
        <v>11</v>
      </c>
      <c r="F268" s="5" t="str">
        <f>"李孟霖"</f>
        <v>李孟霖</v>
      </c>
      <c r="G268" s="5" t="str">
        <f>"男"</f>
        <v>男</v>
      </c>
      <c r="H268" s="5"/>
    </row>
    <row r="269" spans="1:8" ht="30" customHeight="1">
      <c r="A269" s="5">
        <v>267</v>
      </c>
      <c r="B269" s="5" t="str">
        <f>"519720230530115413143950"</f>
        <v>519720230530115413143950</v>
      </c>
      <c r="C269" s="5" t="s">
        <v>9</v>
      </c>
      <c r="D269" s="5" t="str">
        <f t="shared" si="21"/>
        <v>0102</v>
      </c>
      <c r="E269" s="5" t="s">
        <v>11</v>
      </c>
      <c r="F269" s="5" t="str">
        <f>"王佳轩"</f>
        <v>王佳轩</v>
      </c>
      <c r="G269" s="5" t="str">
        <f>"男"</f>
        <v>男</v>
      </c>
      <c r="H269" s="5"/>
    </row>
    <row r="270" spans="1:8" ht="30" customHeight="1">
      <c r="A270" s="5">
        <v>268</v>
      </c>
      <c r="B270" s="5" t="str">
        <f>"519720230530122736143967"</f>
        <v>519720230530122736143967</v>
      </c>
      <c r="C270" s="5" t="s">
        <v>9</v>
      </c>
      <c r="D270" s="5" t="str">
        <f t="shared" si="21"/>
        <v>0102</v>
      </c>
      <c r="E270" s="5" t="s">
        <v>11</v>
      </c>
      <c r="F270" s="5" t="str">
        <f>"朱艺莹"</f>
        <v>朱艺莹</v>
      </c>
      <c r="G270" s="5" t="str">
        <f>"女"</f>
        <v>女</v>
      </c>
      <c r="H270" s="5"/>
    </row>
    <row r="271" spans="1:8" ht="30" customHeight="1">
      <c r="A271" s="5">
        <v>269</v>
      </c>
      <c r="B271" s="5" t="str">
        <f>"519720230530123728143974"</f>
        <v>519720230530123728143974</v>
      </c>
      <c r="C271" s="5" t="s">
        <v>9</v>
      </c>
      <c r="D271" s="5" t="str">
        <f t="shared" si="21"/>
        <v>0102</v>
      </c>
      <c r="E271" s="5" t="s">
        <v>11</v>
      </c>
      <c r="F271" s="5" t="str">
        <f>"盛昭涵"</f>
        <v>盛昭涵</v>
      </c>
      <c r="G271" s="5" t="str">
        <f>"女"</f>
        <v>女</v>
      </c>
      <c r="H271" s="5"/>
    </row>
    <row r="272" spans="1:8" ht="30" customHeight="1">
      <c r="A272" s="5">
        <v>270</v>
      </c>
      <c r="B272" s="5" t="str">
        <f>"519720230530144422144005"</f>
        <v>519720230530144422144005</v>
      </c>
      <c r="C272" s="5" t="s">
        <v>9</v>
      </c>
      <c r="D272" s="5" t="str">
        <f t="shared" si="21"/>
        <v>0102</v>
      </c>
      <c r="E272" s="5" t="s">
        <v>11</v>
      </c>
      <c r="F272" s="5" t="str">
        <f>"杨杏"</f>
        <v>杨杏</v>
      </c>
      <c r="G272" s="5" t="str">
        <f>"女"</f>
        <v>女</v>
      </c>
      <c r="H272" s="5"/>
    </row>
    <row r="273" spans="1:8" ht="30" customHeight="1">
      <c r="A273" s="5">
        <v>271</v>
      </c>
      <c r="B273" s="5" t="str">
        <f>"519720230530162047144041"</f>
        <v>519720230530162047144041</v>
      </c>
      <c r="C273" s="5" t="s">
        <v>9</v>
      </c>
      <c r="D273" s="5" t="str">
        <f t="shared" si="21"/>
        <v>0102</v>
      </c>
      <c r="E273" s="5" t="s">
        <v>11</v>
      </c>
      <c r="F273" s="5" t="str">
        <f>"王娇雪"</f>
        <v>王娇雪</v>
      </c>
      <c r="G273" s="5" t="str">
        <f>"女"</f>
        <v>女</v>
      </c>
      <c r="H273" s="5"/>
    </row>
    <row r="274" spans="1:8" ht="30" customHeight="1">
      <c r="A274" s="5">
        <v>272</v>
      </c>
      <c r="B274" s="5" t="str">
        <f>"519720230530164510144054"</f>
        <v>519720230530164510144054</v>
      </c>
      <c r="C274" s="5" t="s">
        <v>9</v>
      </c>
      <c r="D274" s="5" t="str">
        <f t="shared" si="21"/>
        <v>0102</v>
      </c>
      <c r="E274" s="5" t="s">
        <v>11</v>
      </c>
      <c r="F274" s="5" t="str">
        <f>"卢有宏"</f>
        <v>卢有宏</v>
      </c>
      <c r="G274" s="5" t="str">
        <f>"男"</f>
        <v>男</v>
      </c>
      <c r="H274" s="5"/>
    </row>
    <row r="275" spans="1:8" ht="30" customHeight="1">
      <c r="A275" s="5">
        <v>273</v>
      </c>
      <c r="B275" s="5" t="str">
        <f>"519720230523105530142715"</f>
        <v>519720230523105530142715</v>
      </c>
      <c r="C275" s="5" t="s">
        <v>9</v>
      </c>
      <c r="D275" s="5" t="str">
        <f t="shared" si="21"/>
        <v>0102</v>
      </c>
      <c r="E275" s="5" t="s">
        <v>11</v>
      </c>
      <c r="F275" s="5" t="str">
        <f>"羊贵花"</f>
        <v>羊贵花</v>
      </c>
      <c r="G275" s="5" t="str">
        <f aca="true" t="shared" si="24" ref="G275:G280">"女"</f>
        <v>女</v>
      </c>
      <c r="H275" s="5"/>
    </row>
    <row r="276" spans="1:8" ht="30" customHeight="1">
      <c r="A276" s="5">
        <v>274</v>
      </c>
      <c r="B276" s="5" t="str">
        <f>"519720230530180856144082"</f>
        <v>519720230530180856144082</v>
      </c>
      <c r="C276" s="5" t="s">
        <v>9</v>
      </c>
      <c r="D276" s="5" t="str">
        <f t="shared" si="21"/>
        <v>0102</v>
      </c>
      <c r="E276" s="5" t="s">
        <v>11</v>
      </c>
      <c r="F276" s="5" t="str">
        <f>"符坤丽"</f>
        <v>符坤丽</v>
      </c>
      <c r="G276" s="5" t="str">
        <f t="shared" si="24"/>
        <v>女</v>
      </c>
      <c r="H276" s="5"/>
    </row>
    <row r="277" spans="1:8" ht="30" customHeight="1">
      <c r="A277" s="5">
        <v>275</v>
      </c>
      <c r="B277" s="5" t="str">
        <f>"519720230530200658144109"</f>
        <v>519720230530200658144109</v>
      </c>
      <c r="C277" s="5" t="s">
        <v>9</v>
      </c>
      <c r="D277" s="5" t="str">
        <f t="shared" si="21"/>
        <v>0102</v>
      </c>
      <c r="E277" s="5" t="s">
        <v>11</v>
      </c>
      <c r="F277" s="5" t="str">
        <f>"李泽灵"</f>
        <v>李泽灵</v>
      </c>
      <c r="G277" s="5" t="str">
        <f t="shared" si="24"/>
        <v>女</v>
      </c>
      <c r="H277" s="5"/>
    </row>
    <row r="278" spans="1:8" ht="30" customHeight="1">
      <c r="A278" s="5">
        <v>276</v>
      </c>
      <c r="B278" s="5" t="str">
        <f>"519720230530212136144137"</f>
        <v>519720230530212136144137</v>
      </c>
      <c r="C278" s="5" t="s">
        <v>9</v>
      </c>
      <c r="D278" s="5" t="str">
        <f t="shared" si="21"/>
        <v>0102</v>
      </c>
      <c r="E278" s="5" t="s">
        <v>11</v>
      </c>
      <c r="F278" s="5" t="str">
        <f>"陈俊婷"</f>
        <v>陈俊婷</v>
      </c>
      <c r="G278" s="5" t="str">
        <f t="shared" si="24"/>
        <v>女</v>
      </c>
      <c r="H278" s="5"/>
    </row>
    <row r="279" spans="1:8" ht="30" customHeight="1">
      <c r="A279" s="5">
        <v>277</v>
      </c>
      <c r="B279" s="5" t="str">
        <f>"519720230530214025144142"</f>
        <v>519720230530214025144142</v>
      </c>
      <c r="C279" s="5" t="s">
        <v>9</v>
      </c>
      <c r="D279" s="5" t="str">
        <f t="shared" si="21"/>
        <v>0102</v>
      </c>
      <c r="E279" s="5" t="s">
        <v>11</v>
      </c>
      <c r="F279" s="5" t="str">
        <f>"邱炳琦"</f>
        <v>邱炳琦</v>
      </c>
      <c r="G279" s="5" t="str">
        <f t="shared" si="24"/>
        <v>女</v>
      </c>
      <c r="H279" s="5"/>
    </row>
    <row r="280" spans="1:8" ht="30" customHeight="1">
      <c r="A280" s="5">
        <v>278</v>
      </c>
      <c r="B280" s="5" t="str">
        <f>"519720230528003442143439"</f>
        <v>519720230528003442143439</v>
      </c>
      <c r="C280" s="5" t="s">
        <v>9</v>
      </c>
      <c r="D280" s="5" t="str">
        <f t="shared" si="21"/>
        <v>0102</v>
      </c>
      <c r="E280" s="5" t="s">
        <v>11</v>
      </c>
      <c r="F280" s="5" t="str">
        <f>"黄琼娇"</f>
        <v>黄琼娇</v>
      </c>
      <c r="G280" s="5" t="str">
        <f t="shared" si="24"/>
        <v>女</v>
      </c>
      <c r="H280" s="5"/>
    </row>
    <row r="281" spans="1:8" ht="30" customHeight="1">
      <c r="A281" s="5">
        <v>279</v>
      </c>
      <c r="B281" s="5" t="str">
        <f>"519720230531035418144190"</f>
        <v>519720230531035418144190</v>
      </c>
      <c r="C281" s="5" t="s">
        <v>9</v>
      </c>
      <c r="D281" s="5" t="str">
        <f t="shared" si="21"/>
        <v>0102</v>
      </c>
      <c r="E281" s="5" t="s">
        <v>11</v>
      </c>
      <c r="F281" s="5" t="str">
        <f>"都业天"</f>
        <v>都业天</v>
      </c>
      <c r="G281" s="5" t="str">
        <f>"男"</f>
        <v>男</v>
      </c>
      <c r="H281" s="5"/>
    </row>
    <row r="282" spans="1:8" ht="30" customHeight="1">
      <c r="A282" s="5">
        <v>280</v>
      </c>
      <c r="B282" s="5" t="str">
        <f>"519720230525092723143132"</f>
        <v>519720230525092723143132</v>
      </c>
      <c r="C282" s="5" t="s">
        <v>9</v>
      </c>
      <c r="D282" s="5" t="str">
        <f t="shared" si="21"/>
        <v>0102</v>
      </c>
      <c r="E282" s="5" t="s">
        <v>11</v>
      </c>
      <c r="F282" s="5" t="str">
        <f>"赵浩富"</f>
        <v>赵浩富</v>
      </c>
      <c r="G282" s="5" t="str">
        <f>"男"</f>
        <v>男</v>
      </c>
      <c r="H282" s="5"/>
    </row>
    <row r="283" spans="1:8" ht="30" customHeight="1">
      <c r="A283" s="5">
        <v>281</v>
      </c>
      <c r="B283" s="5" t="str">
        <f>"519720230523190603142868"</f>
        <v>519720230523190603142868</v>
      </c>
      <c r="C283" s="5" t="s">
        <v>9</v>
      </c>
      <c r="D283" s="5" t="str">
        <f t="shared" si="21"/>
        <v>0102</v>
      </c>
      <c r="E283" s="5" t="s">
        <v>11</v>
      </c>
      <c r="F283" s="5" t="str">
        <f>"陈明岑"</f>
        <v>陈明岑</v>
      </c>
      <c r="G283" s="5" t="str">
        <f>"女"</f>
        <v>女</v>
      </c>
      <c r="H283" s="5"/>
    </row>
    <row r="284" spans="1:8" ht="30" customHeight="1">
      <c r="A284" s="5">
        <v>282</v>
      </c>
      <c r="B284" s="5" t="str">
        <f>"519720230531100031144230"</f>
        <v>519720230531100031144230</v>
      </c>
      <c r="C284" s="5" t="s">
        <v>9</v>
      </c>
      <c r="D284" s="5" t="str">
        <f t="shared" si="21"/>
        <v>0102</v>
      </c>
      <c r="E284" s="5" t="s">
        <v>11</v>
      </c>
      <c r="F284" s="5" t="str">
        <f>"符传帅"</f>
        <v>符传帅</v>
      </c>
      <c r="G284" s="5" t="str">
        <f>"男"</f>
        <v>男</v>
      </c>
      <c r="H284" s="5"/>
    </row>
    <row r="285" spans="1:8" ht="30" customHeight="1">
      <c r="A285" s="5">
        <v>283</v>
      </c>
      <c r="B285" s="5" t="str">
        <f>"519720230531095908144229"</f>
        <v>519720230531095908144229</v>
      </c>
      <c r="C285" s="5" t="s">
        <v>9</v>
      </c>
      <c r="D285" s="5" t="str">
        <f t="shared" si="21"/>
        <v>0102</v>
      </c>
      <c r="E285" s="5" t="s">
        <v>11</v>
      </c>
      <c r="F285" s="5" t="str">
        <f>"卓多豹"</f>
        <v>卓多豹</v>
      </c>
      <c r="G285" s="5" t="str">
        <f>"男"</f>
        <v>男</v>
      </c>
      <c r="H285" s="5"/>
    </row>
    <row r="286" spans="1:8" ht="30" customHeight="1">
      <c r="A286" s="5">
        <v>284</v>
      </c>
      <c r="B286" s="5" t="str">
        <f>"519720230531114504144274"</f>
        <v>519720230531114504144274</v>
      </c>
      <c r="C286" s="5" t="s">
        <v>9</v>
      </c>
      <c r="D286" s="5" t="str">
        <f t="shared" si="21"/>
        <v>0102</v>
      </c>
      <c r="E286" s="5" t="s">
        <v>11</v>
      </c>
      <c r="F286" s="5" t="str">
        <f>"曹阳"</f>
        <v>曹阳</v>
      </c>
      <c r="G286" s="5" t="str">
        <f>"女"</f>
        <v>女</v>
      </c>
      <c r="H286" s="5"/>
    </row>
    <row r="287" spans="1:8" ht="30" customHeight="1">
      <c r="A287" s="5">
        <v>285</v>
      </c>
      <c r="B287" s="5" t="str">
        <f>"519720230531122636144282"</f>
        <v>519720230531122636144282</v>
      </c>
      <c r="C287" s="5" t="s">
        <v>9</v>
      </c>
      <c r="D287" s="5" t="str">
        <f aca="true" t="shared" si="25" ref="D287:D350">"0102"</f>
        <v>0102</v>
      </c>
      <c r="E287" s="5" t="s">
        <v>11</v>
      </c>
      <c r="F287" s="5" t="str">
        <f>"李晶晶"</f>
        <v>李晶晶</v>
      </c>
      <c r="G287" s="5" t="str">
        <f>"女"</f>
        <v>女</v>
      </c>
      <c r="H287" s="5"/>
    </row>
    <row r="288" spans="1:8" ht="30" customHeight="1">
      <c r="A288" s="5">
        <v>286</v>
      </c>
      <c r="B288" s="5" t="str">
        <f>"519720230531113332144268"</f>
        <v>519720230531113332144268</v>
      </c>
      <c r="C288" s="5" t="s">
        <v>9</v>
      </c>
      <c r="D288" s="5" t="str">
        <f t="shared" si="25"/>
        <v>0102</v>
      </c>
      <c r="E288" s="5" t="s">
        <v>11</v>
      </c>
      <c r="F288" s="5" t="str">
        <f>"郑秋琴"</f>
        <v>郑秋琴</v>
      </c>
      <c r="G288" s="5" t="str">
        <f>"女"</f>
        <v>女</v>
      </c>
      <c r="H288" s="5"/>
    </row>
    <row r="289" spans="1:8" ht="30" customHeight="1">
      <c r="A289" s="5">
        <v>287</v>
      </c>
      <c r="B289" s="5" t="str">
        <f>"519720230531161402144303"</f>
        <v>519720230531161402144303</v>
      </c>
      <c r="C289" s="5" t="s">
        <v>9</v>
      </c>
      <c r="D289" s="5" t="str">
        <f t="shared" si="25"/>
        <v>0102</v>
      </c>
      <c r="E289" s="5" t="s">
        <v>11</v>
      </c>
      <c r="F289" s="5" t="str">
        <f>"符望"</f>
        <v>符望</v>
      </c>
      <c r="G289" s="5" t="str">
        <f>"女"</f>
        <v>女</v>
      </c>
      <c r="H289" s="5"/>
    </row>
    <row r="290" spans="1:8" ht="30" customHeight="1">
      <c r="A290" s="5">
        <v>288</v>
      </c>
      <c r="B290" s="5" t="str">
        <f>"519720230531155229144300"</f>
        <v>519720230531155229144300</v>
      </c>
      <c r="C290" s="5" t="s">
        <v>9</v>
      </c>
      <c r="D290" s="5" t="str">
        <f t="shared" si="25"/>
        <v>0102</v>
      </c>
      <c r="E290" s="5" t="s">
        <v>11</v>
      </c>
      <c r="F290" s="5" t="str">
        <f>"陈昌"</f>
        <v>陈昌</v>
      </c>
      <c r="G290" s="5" t="str">
        <f>"男"</f>
        <v>男</v>
      </c>
      <c r="H290" s="5"/>
    </row>
    <row r="291" spans="1:8" ht="30" customHeight="1">
      <c r="A291" s="5">
        <v>289</v>
      </c>
      <c r="B291" s="5" t="str">
        <f>"519720230531155130144299"</f>
        <v>519720230531155130144299</v>
      </c>
      <c r="C291" s="5" t="s">
        <v>9</v>
      </c>
      <c r="D291" s="5" t="str">
        <f t="shared" si="25"/>
        <v>0102</v>
      </c>
      <c r="E291" s="5" t="s">
        <v>11</v>
      </c>
      <c r="F291" s="5" t="str">
        <f>"符传钦"</f>
        <v>符传钦</v>
      </c>
      <c r="G291" s="5" t="str">
        <f>"男"</f>
        <v>男</v>
      </c>
      <c r="H291" s="5"/>
    </row>
    <row r="292" spans="1:8" ht="30" customHeight="1">
      <c r="A292" s="5">
        <v>290</v>
      </c>
      <c r="B292" s="5" t="str">
        <f>"519720230531180545144320"</f>
        <v>519720230531180545144320</v>
      </c>
      <c r="C292" s="5" t="s">
        <v>9</v>
      </c>
      <c r="D292" s="5" t="str">
        <f t="shared" si="25"/>
        <v>0102</v>
      </c>
      <c r="E292" s="5" t="s">
        <v>11</v>
      </c>
      <c r="F292" s="5" t="str">
        <f>"钟晖"</f>
        <v>钟晖</v>
      </c>
      <c r="G292" s="5" t="str">
        <f>"男"</f>
        <v>男</v>
      </c>
      <c r="H292" s="5"/>
    </row>
    <row r="293" spans="1:8" ht="30" customHeight="1">
      <c r="A293" s="5">
        <v>291</v>
      </c>
      <c r="B293" s="5" t="str">
        <f>"519720230531214049144350"</f>
        <v>519720230531214049144350</v>
      </c>
      <c r="C293" s="5" t="s">
        <v>9</v>
      </c>
      <c r="D293" s="5" t="str">
        <f t="shared" si="25"/>
        <v>0102</v>
      </c>
      <c r="E293" s="5" t="s">
        <v>11</v>
      </c>
      <c r="F293" s="5" t="str">
        <f>"王采奕"</f>
        <v>王采奕</v>
      </c>
      <c r="G293" s="5" t="str">
        <f>"女"</f>
        <v>女</v>
      </c>
      <c r="H293" s="5"/>
    </row>
    <row r="294" spans="1:8" ht="30" customHeight="1">
      <c r="A294" s="5">
        <v>292</v>
      </c>
      <c r="B294" s="5" t="str">
        <f>"519720230526005602143272"</f>
        <v>519720230526005602143272</v>
      </c>
      <c r="C294" s="5" t="s">
        <v>9</v>
      </c>
      <c r="D294" s="5" t="str">
        <f t="shared" si="25"/>
        <v>0102</v>
      </c>
      <c r="E294" s="5" t="s">
        <v>11</v>
      </c>
      <c r="F294" s="5" t="str">
        <f>"吉晶晶"</f>
        <v>吉晶晶</v>
      </c>
      <c r="G294" s="5" t="str">
        <f>"男"</f>
        <v>男</v>
      </c>
      <c r="H294" s="5"/>
    </row>
    <row r="295" spans="1:8" ht="30" customHeight="1">
      <c r="A295" s="5">
        <v>293</v>
      </c>
      <c r="B295" s="5" t="str">
        <f>"519720230528144328143465"</f>
        <v>519720230528144328143465</v>
      </c>
      <c r="C295" s="5" t="s">
        <v>9</v>
      </c>
      <c r="D295" s="5" t="str">
        <f t="shared" si="25"/>
        <v>0102</v>
      </c>
      <c r="E295" s="5" t="s">
        <v>11</v>
      </c>
      <c r="F295" s="5" t="str">
        <f>"徐放"</f>
        <v>徐放</v>
      </c>
      <c r="G295" s="5" t="str">
        <f>"女"</f>
        <v>女</v>
      </c>
      <c r="H295" s="5"/>
    </row>
    <row r="296" spans="1:8" ht="30" customHeight="1">
      <c r="A296" s="5">
        <v>294</v>
      </c>
      <c r="B296" s="5" t="str">
        <f>"519720230601084045144375"</f>
        <v>519720230601084045144375</v>
      </c>
      <c r="C296" s="5" t="s">
        <v>9</v>
      </c>
      <c r="D296" s="5" t="str">
        <f t="shared" si="25"/>
        <v>0102</v>
      </c>
      <c r="E296" s="5" t="s">
        <v>11</v>
      </c>
      <c r="F296" s="5" t="str">
        <f>"柴姝宇"</f>
        <v>柴姝宇</v>
      </c>
      <c r="G296" s="5" t="str">
        <f>"女"</f>
        <v>女</v>
      </c>
      <c r="H296" s="5"/>
    </row>
    <row r="297" spans="1:8" ht="30" customHeight="1">
      <c r="A297" s="5">
        <v>295</v>
      </c>
      <c r="B297" s="5" t="str">
        <f>"519720230531182446144326"</f>
        <v>519720230531182446144326</v>
      </c>
      <c r="C297" s="5" t="s">
        <v>9</v>
      </c>
      <c r="D297" s="5" t="str">
        <f t="shared" si="25"/>
        <v>0102</v>
      </c>
      <c r="E297" s="5" t="s">
        <v>11</v>
      </c>
      <c r="F297" s="5" t="str">
        <f>"蔡运媚"</f>
        <v>蔡运媚</v>
      </c>
      <c r="G297" s="5" t="str">
        <f>"女"</f>
        <v>女</v>
      </c>
      <c r="H297" s="5"/>
    </row>
    <row r="298" spans="1:8" ht="30" customHeight="1">
      <c r="A298" s="5">
        <v>296</v>
      </c>
      <c r="B298" s="5" t="str">
        <f>"519720230528155904143473"</f>
        <v>519720230528155904143473</v>
      </c>
      <c r="C298" s="5" t="s">
        <v>9</v>
      </c>
      <c r="D298" s="5" t="str">
        <f t="shared" si="25"/>
        <v>0102</v>
      </c>
      <c r="E298" s="5" t="s">
        <v>11</v>
      </c>
      <c r="F298" s="5" t="str">
        <f>"邢贞娜"</f>
        <v>邢贞娜</v>
      </c>
      <c r="G298" s="5" t="str">
        <f>"女"</f>
        <v>女</v>
      </c>
      <c r="H298" s="5"/>
    </row>
    <row r="299" spans="1:8" ht="30" customHeight="1">
      <c r="A299" s="5">
        <v>297</v>
      </c>
      <c r="B299" s="5" t="str">
        <f>"519720230529195408143781"</f>
        <v>519720230529195408143781</v>
      </c>
      <c r="C299" s="5" t="s">
        <v>9</v>
      </c>
      <c r="D299" s="5" t="str">
        <f t="shared" si="25"/>
        <v>0102</v>
      </c>
      <c r="E299" s="5" t="s">
        <v>11</v>
      </c>
      <c r="F299" s="5" t="str">
        <f>"李杜哲"</f>
        <v>李杜哲</v>
      </c>
      <c r="G299" s="5" t="str">
        <f>"男"</f>
        <v>男</v>
      </c>
      <c r="H299" s="5"/>
    </row>
    <row r="300" spans="1:8" ht="30" customHeight="1">
      <c r="A300" s="5">
        <v>298</v>
      </c>
      <c r="B300" s="5" t="str">
        <f>"519720230601070655144373"</f>
        <v>519720230601070655144373</v>
      </c>
      <c r="C300" s="5" t="s">
        <v>9</v>
      </c>
      <c r="D300" s="5" t="str">
        <f t="shared" si="25"/>
        <v>0102</v>
      </c>
      <c r="E300" s="5" t="s">
        <v>11</v>
      </c>
      <c r="F300" s="5" t="str">
        <f>"陈芳"</f>
        <v>陈芳</v>
      </c>
      <c r="G300" s="5" t="str">
        <f>"女"</f>
        <v>女</v>
      </c>
      <c r="H300" s="5"/>
    </row>
    <row r="301" spans="1:8" ht="30" customHeight="1">
      <c r="A301" s="5">
        <v>299</v>
      </c>
      <c r="B301" s="5" t="str">
        <f>"519720230523170647142830"</f>
        <v>519720230523170647142830</v>
      </c>
      <c r="C301" s="5" t="s">
        <v>9</v>
      </c>
      <c r="D301" s="5" t="str">
        <f t="shared" si="25"/>
        <v>0102</v>
      </c>
      <c r="E301" s="5" t="s">
        <v>11</v>
      </c>
      <c r="F301" s="5" t="str">
        <f>"朱小蕾"</f>
        <v>朱小蕾</v>
      </c>
      <c r="G301" s="5" t="str">
        <f>"女"</f>
        <v>女</v>
      </c>
      <c r="H301" s="5"/>
    </row>
    <row r="302" spans="1:8" ht="30" customHeight="1">
      <c r="A302" s="5">
        <v>300</v>
      </c>
      <c r="B302" s="5" t="str">
        <f>"519720230528100730143447"</f>
        <v>519720230528100730143447</v>
      </c>
      <c r="C302" s="5" t="s">
        <v>9</v>
      </c>
      <c r="D302" s="5" t="str">
        <f t="shared" si="25"/>
        <v>0102</v>
      </c>
      <c r="E302" s="5" t="s">
        <v>11</v>
      </c>
      <c r="F302" s="5" t="str">
        <f>"张家振"</f>
        <v>张家振</v>
      </c>
      <c r="G302" s="5" t="str">
        <f>"男"</f>
        <v>男</v>
      </c>
      <c r="H302" s="5"/>
    </row>
    <row r="303" spans="1:8" ht="30" customHeight="1">
      <c r="A303" s="5">
        <v>301</v>
      </c>
      <c r="B303" s="5" t="str">
        <f>"519720230601103243144390"</f>
        <v>519720230601103243144390</v>
      </c>
      <c r="C303" s="5" t="s">
        <v>9</v>
      </c>
      <c r="D303" s="5" t="str">
        <f t="shared" si="25"/>
        <v>0102</v>
      </c>
      <c r="E303" s="5" t="s">
        <v>11</v>
      </c>
      <c r="F303" s="5" t="str">
        <f>"梁德华"</f>
        <v>梁德华</v>
      </c>
      <c r="G303" s="5" t="str">
        <f>"男"</f>
        <v>男</v>
      </c>
      <c r="H303" s="5"/>
    </row>
    <row r="304" spans="1:8" ht="30" customHeight="1">
      <c r="A304" s="5">
        <v>302</v>
      </c>
      <c r="B304" s="5" t="str">
        <f>"519720230601131456144404"</f>
        <v>519720230601131456144404</v>
      </c>
      <c r="C304" s="5" t="s">
        <v>9</v>
      </c>
      <c r="D304" s="5" t="str">
        <f t="shared" si="25"/>
        <v>0102</v>
      </c>
      <c r="E304" s="5" t="s">
        <v>11</v>
      </c>
      <c r="F304" s="5" t="str">
        <f>"初雨桐"</f>
        <v>初雨桐</v>
      </c>
      <c r="G304" s="5" t="str">
        <f>"女"</f>
        <v>女</v>
      </c>
      <c r="H304" s="5"/>
    </row>
    <row r="305" spans="1:8" ht="30" customHeight="1">
      <c r="A305" s="5">
        <v>303</v>
      </c>
      <c r="B305" s="5" t="str">
        <f>"519720230530133005143993"</f>
        <v>519720230530133005143993</v>
      </c>
      <c r="C305" s="5" t="s">
        <v>9</v>
      </c>
      <c r="D305" s="5" t="str">
        <f t="shared" si="25"/>
        <v>0102</v>
      </c>
      <c r="E305" s="5" t="s">
        <v>11</v>
      </c>
      <c r="F305" s="5" t="str">
        <f>"潘东"</f>
        <v>潘东</v>
      </c>
      <c r="G305" s="5" t="str">
        <f>"男"</f>
        <v>男</v>
      </c>
      <c r="H305" s="5"/>
    </row>
    <row r="306" spans="1:8" ht="30" customHeight="1">
      <c r="A306" s="5">
        <v>304</v>
      </c>
      <c r="B306" s="5" t="str">
        <f>"519720230531104701144247"</f>
        <v>519720230531104701144247</v>
      </c>
      <c r="C306" s="5" t="s">
        <v>9</v>
      </c>
      <c r="D306" s="5" t="str">
        <f t="shared" si="25"/>
        <v>0102</v>
      </c>
      <c r="E306" s="5" t="s">
        <v>11</v>
      </c>
      <c r="F306" s="5" t="str">
        <f>"杨思芸"</f>
        <v>杨思芸</v>
      </c>
      <c r="G306" s="5" t="str">
        <f>"女"</f>
        <v>女</v>
      </c>
      <c r="H306" s="5"/>
    </row>
    <row r="307" spans="1:8" ht="30" customHeight="1">
      <c r="A307" s="5">
        <v>305</v>
      </c>
      <c r="B307" s="5" t="str">
        <f>"519720230601155112144420"</f>
        <v>519720230601155112144420</v>
      </c>
      <c r="C307" s="5" t="s">
        <v>9</v>
      </c>
      <c r="D307" s="5" t="str">
        <f t="shared" si="25"/>
        <v>0102</v>
      </c>
      <c r="E307" s="5" t="s">
        <v>11</v>
      </c>
      <c r="F307" s="5" t="str">
        <f>"谢慧芬"</f>
        <v>谢慧芬</v>
      </c>
      <c r="G307" s="5" t="str">
        <f>"女"</f>
        <v>女</v>
      </c>
      <c r="H307" s="5"/>
    </row>
    <row r="308" spans="1:8" ht="30" customHeight="1">
      <c r="A308" s="5">
        <v>306</v>
      </c>
      <c r="B308" s="5" t="str">
        <f>"519720230526104849143299"</f>
        <v>519720230526104849143299</v>
      </c>
      <c r="C308" s="5" t="s">
        <v>9</v>
      </c>
      <c r="D308" s="5" t="str">
        <f t="shared" si="25"/>
        <v>0102</v>
      </c>
      <c r="E308" s="5" t="s">
        <v>11</v>
      </c>
      <c r="F308" s="5" t="str">
        <f>"李晨阳"</f>
        <v>李晨阳</v>
      </c>
      <c r="G308" s="5" t="str">
        <f>"男"</f>
        <v>男</v>
      </c>
      <c r="H308" s="5"/>
    </row>
    <row r="309" spans="1:8" ht="30" customHeight="1">
      <c r="A309" s="5">
        <v>307</v>
      </c>
      <c r="B309" s="5" t="str">
        <f>"519720230601154327144418"</f>
        <v>519720230601154327144418</v>
      </c>
      <c r="C309" s="5" t="s">
        <v>9</v>
      </c>
      <c r="D309" s="5" t="str">
        <f t="shared" si="25"/>
        <v>0102</v>
      </c>
      <c r="E309" s="5" t="s">
        <v>11</v>
      </c>
      <c r="F309" s="5" t="str">
        <f>"冯海林"</f>
        <v>冯海林</v>
      </c>
      <c r="G309" s="5" t="str">
        <f>"男"</f>
        <v>男</v>
      </c>
      <c r="H309" s="5"/>
    </row>
    <row r="310" spans="1:8" ht="30" customHeight="1">
      <c r="A310" s="5">
        <v>308</v>
      </c>
      <c r="B310" s="5" t="str">
        <f>"519720230601163114144427"</f>
        <v>519720230601163114144427</v>
      </c>
      <c r="C310" s="5" t="s">
        <v>9</v>
      </c>
      <c r="D310" s="5" t="str">
        <f t="shared" si="25"/>
        <v>0102</v>
      </c>
      <c r="E310" s="5" t="s">
        <v>11</v>
      </c>
      <c r="F310" s="5" t="str">
        <f>"谢丽妹"</f>
        <v>谢丽妹</v>
      </c>
      <c r="G310" s="5" t="str">
        <f>"女"</f>
        <v>女</v>
      </c>
      <c r="H310" s="5"/>
    </row>
    <row r="311" spans="1:8" ht="30" customHeight="1">
      <c r="A311" s="5">
        <v>309</v>
      </c>
      <c r="B311" s="5" t="str">
        <f>"519720230601185323144437"</f>
        <v>519720230601185323144437</v>
      </c>
      <c r="C311" s="5" t="s">
        <v>9</v>
      </c>
      <c r="D311" s="5" t="str">
        <f t="shared" si="25"/>
        <v>0102</v>
      </c>
      <c r="E311" s="5" t="s">
        <v>11</v>
      </c>
      <c r="F311" s="5" t="str">
        <f>"陈景"</f>
        <v>陈景</v>
      </c>
      <c r="G311" s="5" t="str">
        <f>"女"</f>
        <v>女</v>
      </c>
      <c r="H311" s="5"/>
    </row>
    <row r="312" spans="1:8" ht="30" customHeight="1">
      <c r="A312" s="5">
        <v>310</v>
      </c>
      <c r="B312" s="5" t="str">
        <f>"519720230531214927144354"</f>
        <v>519720230531214927144354</v>
      </c>
      <c r="C312" s="5" t="s">
        <v>9</v>
      </c>
      <c r="D312" s="5" t="str">
        <f t="shared" si="25"/>
        <v>0102</v>
      </c>
      <c r="E312" s="5" t="s">
        <v>11</v>
      </c>
      <c r="F312" s="5" t="str">
        <f>"钟浩"</f>
        <v>钟浩</v>
      </c>
      <c r="G312" s="5" t="str">
        <f>"男"</f>
        <v>男</v>
      </c>
      <c r="H312" s="5"/>
    </row>
    <row r="313" spans="1:8" ht="30" customHeight="1">
      <c r="A313" s="5">
        <v>311</v>
      </c>
      <c r="B313" s="5" t="str">
        <f>"519720230526224703143378"</f>
        <v>519720230526224703143378</v>
      </c>
      <c r="C313" s="5" t="s">
        <v>9</v>
      </c>
      <c r="D313" s="5" t="str">
        <f t="shared" si="25"/>
        <v>0102</v>
      </c>
      <c r="E313" s="5" t="s">
        <v>11</v>
      </c>
      <c r="F313" s="5" t="str">
        <f>"杨珊珊"</f>
        <v>杨珊珊</v>
      </c>
      <c r="G313" s="5" t="str">
        <f>"女"</f>
        <v>女</v>
      </c>
      <c r="H313" s="5"/>
    </row>
    <row r="314" spans="1:8" ht="30" customHeight="1">
      <c r="A314" s="5">
        <v>312</v>
      </c>
      <c r="B314" s="5" t="str">
        <f>"519720230601224406144464"</f>
        <v>519720230601224406144464</v>
      </c>
      <c r="C314" s="5" t="s">
        <v>9</v>
      </c>
      <c r="D314" s="5" t="str">
        <f t="shared" si="25"/>
        <v>0102</v>
      </c>
      <c r="E314" s="5" t="s">
        <v>11</v>
      </c>
      <c r="F314" s="5" t="str">
        <f>"周月桃"</f>
        <v>周月桃</v>
      </c>
      <c r="G314" s="5" t="str">
        <f>"女"</f>
        <v>女</v>
      </c>
      <c r="H314" s="5"/>
    </row>
    <row r="315" spans="1:8" ht="30" customHeight="1">
      <c r="A315" s="5">
        <v>313</v>
      </c>
      <c r="B315" s="5" t="str">
        <f>"519720230601224846144466"</f>
        <v>519720230601224846144466</v>
      </c>
      <c r="C315" s="5" t="s">
        <v>9</v>
      </c>
      <c r="D315" s="5" t="str">
        <f t="shared" si="25"/>
        <v>0102</v>
      </c>
      <c r="E315" s="5" t="s">
        <v>11</v>
      </c>
      <c r="F315" s="5" t="str">
        <f>"黄兴璋"</f>
        <v>黄兴璋</v>
      </c>
      <c r="G315" s="5" t="str">
        <f>"男"</f>
        <v>男</v>
      </c>
      <c r="H315" s="5"/>
    </row>
    <row r="316" spans="1:8" ht="30" customHeight="1">
      <c r="A316" s="5">
        <v>314</v>
      </c>
      <c r="B316" s="5" t="str">
        <f>"519720230526140956143318"</f>
        <v>519720230526140956143318</v>
      </c>
      <c r="C316" s="5" t="s">
        <v>9</v>
      </c>
      <c r="D316" s="5" t="str">
        <f t="shared" si="25"/>
        <v>0102</v>
      </c>
      <c r="E316" s="5" t="s">
        <v>11</v>
      </c>
      <c r="F316" s="5" t="str">
        <f>"陈东青"</f>
        <v>陈东青</v>
      </c>
      <c r="G316" s="5" t="str">
        <f>"女"</f>
        <v>女</v>
      </c>
      <c r="H316" s="5"/>
    </row>
    <row r="317" spans="1:8" ht="30" customHeight="1">
      <c r="A317" s="5">
        <v>315</v>
      </c>
      <c r="B317" s="5" t="str">
        <f>"519720230522200209142564"</f>
        <v>519720230522200209142564</v>
      </c>
      <c r="C317" s="5" t="s">
        <v>9</v>
      </c>
      <c r="D317" s="5" t="str">
        <f t="shared" si="25"/>
        <v>0102</v>
      </c>
      <c r="E317" s="5" t="s">
        <v>11</v>
      </c>
      <c r="F317" s="5" t="str">
        <f>"廖小燕"</f>
        <v>廖小燕</v>
      </c>
      <c r="G317" s="5" t="str">
        <f>"女"</f>
        <v>女</v>
      </c>
      <c r="H317" s="5"/>
    </row>
    <row r="318" spans="1:8" ht="30" customHeight="1">
      <c r="A318" s="5">
        <v>316</v>
      </c>
      <c r="B318" s="5" t="str">
        <f>"519720230524105220142982"</f>
        <v>519720230524105220142982</v>
      </c>
      <c r="C318" s="5" t="s">
        <v>9</v>
      </c>
      <c r="D318" s="5" t="str">
        <f t="shared" si="25"/>
        <v>0102</v>
      </c>
      <c r="E318" s="5" t="s">
        <v>11</v>
      </c>
      <c r="F318" s="5" t="str">
        <f>"郭佳华"</f>
        <v>郭佳华</v>
      </c>
      <c r="G318" s="5" t="str">
        <f>"女"</f>
        <v>女</v>
      </c>
      <c r="H318" s="5"/>
    </row>
    <row r="319" spans="1:8" ht="30" customHeight="1">
      <c r="A319" s="5">
        <v>317</v>
      </c>
      <c r="B319" s="5" t="str">
        <f>"519720230602095701144509"</f>
        <v>519720230602095701144509</v>
      </c>
      <c r="C319" s="5" t="s">
        <v>9</v>
      </c>
      <c r="D319" s="5" t="str">
        <f t="shared" si="25"/>
        <v>0102</v>
      </c>
      <c r="E319" s="5" t="s">
        <v>11</v>
      </c>
      <c r="F319" s="5" t="str">
        <f>"林青琳"</f>
        <v>林青琳</v>
      </c>
      <c r="G319" s="5" t="str">
        <f>"女"</f>
        <v>女</v>
      </c>
      <c r="H319" s="5"/>
    </row>
    <row r="320" spans="1:8" ht="30" customHeight="1">
      <c r="A320" s="5">
        <v>318</v>
      </c>
      <c r="B320" s="5" t="str">
        <f>"519720230602103753144519"</f>
        <v>519720230602103753144519</v>
      </c>
      <c r="C320" s="5" t="s">
        <v>9</v>
      </c>
      <c r="D320" s="5" t="str">
        <f t="shared" si="25"/>
        <v>0102</v>
      </c>
      <c r="E320" s="5" t="s">
        <v>11</v>
      </c>
      <c r="F320" s="5" t="str">
        <f>"汪丹"</f>
        <v>汪丹</v>
      </c>
      <c r="G320" s="5" t="str">
        <f>"女"</f>
        <v>女</v>
      </c>
      <c r="H320" s="5"/>
    </row>
    <row r="321" spans="1:8" ht="30" customHeight="1">
      <c r="A321" s="5">
        <v>319</v>
      </c>
      <c r="B321" s="5" t="str">
        <f>"519720230527100732143386"</f>
        <v>519720230527100732143386</v>
      </c>
      <c r="C321" s="5" t="s">
        <v>9</v>
      </c>
      <c r="D321" s="5" t="str">
        <f t="shared" si="25"/>
        <v>0102</v>
      </c>
      <c r="E321" s="5" t="s">
        <v>11</v>
      </c>
      <c r="F321" s="5" t="str">
        <f>"陈思智"</f>
        <v>陈思智</v>
      </c>
      <c r="G321" s="5" t="str">
        <f>"男"</f>
        <v>男</v>
      </c>
      <c r="H321" s="5"/>
    </row>
    <row r="322" spans="1:8" ht="30" customHeight="1">
      <c r="A322" s="5">
        <v>320</v>
      </c>
      <c r="B322" s="5" t="str">
        <f>"519720230602113341144537"</f>
        <v>519720230602113341144537</v>
      </c>
      <c r="C322" s="5" t="s">
        <v>9</v>
      </c>
      <c r="D322" s="5" t="str">
        <f t="shared" si="25"/>
        <v>0102</v>
      </c>
      <c r="E322" s="5" t="s">
        <v>11</v>
      </c>
      <c r="F322" s="5" t="str">
        <f>"董克晓"</f>
        <v>董克晓</v>
      </c>
      <c r="G322" s="5" t="str">
        <f aca="true" t="shared" si="26" ref="G322:G328">"女"</f>
        <v>女</v>
      </c>
      <c r="H322" s="5"/>
    </row>
    <row r="323" spans="1:8" ht="30" customHeight="1">
      <c r="A323" s="5">
        <v>321</v>
      </c>
      <c r="B323" s="5" t="str">
        <f>"519720230601185928144439"</f>
        <v>519720230601185928144439</v>
      </c>
      <c r="C323" s="5" t="s">
        <v>9</v>
      </c>
      <c r="D323" s="5" t="str">
        <f t="shared" si="25"/>
        <v>0102</v>
      </c>
      <c r="E323" s="5" t="s">
        <v>11</v>
      </c>
      <c r="F323" s="5" t="str">
        <f>"钟文诗"</f>
        <v>钟文诗</v>
      </c>
      <c r="G323" s="5" t="str">
        <f t="shared" si="26"/>
        <v>女</v>
      </c>
      <c r="H323" s="5"/>
    </row>
    <row r="324" spans="1:8" ht="30" customHeight="1">
      <c r="A324" s="5">
        <v>322</v>
      </c>
      <c r="B324" s="5" t="str">
        <f>"519720230602091031144496"</f>
        <v>519720230602091031144496</v>
      </c>
      <c r="C324" s="5" t="s">
        <v>9</v>
      </c>
      <c r="D324" s="5" t="str">
        <f t="shared" si="25"/>
        <v>0102</v>
      </c>
      <c r="E324" s="5" t="s">
        <v>11</v>
      </c>
      <c r="F324" s="5" t="str">
        <f>"赵凡繁"</f>
        <v>赵凡繁</v>
      </c>
      <c r="G324" s="5" t="str">
        <f t="shared" si="26"/>
        <v>女</v>
      </c>
      <c r="H324" s="5"/>
    </row>
    <row r="325" spans="1:8" ht="30" customHeight="1">
      <c r="A325" s="5">
        <v>323</v>
      </c>
      <c r="B325" s="5" t="str">
        <f>"519720230602160619144574"</f>
        <v>519720230602160619144574</v>
      </c>
      <c r="C325" s="5" t="s">
        <v>9</v>
      </c>
      <c r="D325" s="5" t="str">
        <f t="shared" si="25"/>
        <v>0102</v>
      </c>
      <c r="E325" s="5" t="s">
        <v>11</v>
      </c>
      <c r="F325" s="5" t="str">
        <f>"黄江月"</f>
        <v>黄江月</v>
      </c>
      <c r="G325" s="5" t="str">
        <f t="shared" si="26"/>
        <v>女</v>
      </c>
      <c r="H325" s="5"/>
    </row>
    <row r="326" spans="1:8" ht="30" customHeight="1">
      <c r="A326" s="5">
        <v>324</v>
      </c>
      <c r="B326" s="5" t="str">
        <f>"519720230602160504144573"</f>
        <v>519720230602160504144573</v>
      </c>
      <c r="C326" s="5" t="s">
        <v>9</v>
      </c>
      <c r="D326" s="5" t="str">
        <f t="shared" si="25"/>
        <v>0102</v>
      </c>
      <c r="E326" s="5" t="s">
        <v>11</v>
      </c>
      <c r="F326" s="5" t="str">
        <f>"邓小倩"</f>
        <v>邓小倩</v>
      </c>
      <c r="G326" s="5" t="str">
        <f t="shared" si="26"/>
        <v>女</v>
      </c>
      <c r="H326" s="5"/>
    </row>
    <row r="327" spans="1:8" ht="30" customHeight="1">
      <c r="A327" s="5">
        <v>325</v>
      </c>
      <c r="B327" s="5" t="str">
        <f>"519720230602164308144578"</f>
        <v>519720230602164308144578</v>
      </c>
      <c r="C327" s="5" t="s">
        <v>9</v>
      </c>
      <c r="D327" s="5" t="str">
        <f t="shared" si="25"/>
        <v>0102</v>
      </c>
      <c r="E327" s="5" t="s">
        <v>11</v>
      </c>
      <c r="F327" s="5" t="str">
        <f>"黄小娟"</f>
        <v>黄小娟</v>
      </c>
      <c r="G327" s="5" t="str">
        <f t="shared" si="26"/>
        <v>女</v>
      </c>
      <c r="H327" s="5"/>
    </row>
    <row r="328" spans="1:8" ht="30" customHeight="1">
      <c r="A328" s="5">
        <v>326</v>
      </c>
      <c r="B328" s="5" t="str">
        <f>"519720230602161837144576"</f>
        <v>519720230602161837144576</v>
      </c>
      <c r="C328" s="5" t="s">
        <v>9</v>
      </c>
      <c r="D328" s="5" t="str">
        <f t="shared" si="25"/>
        <v>0102</v>
      </c>
      <c r="E328" s="5" t="s">
        <v>11</v>
      </c>
      <c r="F328" s="5" t="str">
        <f>"梁兆艳"</f>
        <v>梁兆艳</v>
      </c>
      <c r="G328" s="5" t="str">
        <f t="shared" si="26"/>
        <v>女</v>
      </c>
      <c r="H328" s="5"/>
    </row>
    <row r="329" spans="1:8" ht="30" customHeight="1">
      <c r="A329" s="5">
        <v>327</v>
      </c>
      <c r="B329" s="5" t="str">
        <f>"519720230525223354143259"</f>
        <v>519720230525223354143259</v>
      </c>
      <c r="C329" s="5" t="s">
        <v>9</v>
      </c>
      <c r="D329" s="5" t="str">
        <f t="shared" si="25"/>
        <v>0102</v>
      </c>
      <c r="E329" s="5" t="s">
        <v>11</v>
      </c>
      <c r="F329" s="5" t="str">
        <f>"黄兹博"</f>
        <v>黄兹博</v>
      </c>
      <c r="G329" s="5" t="str">
        <f>"男"</f>
        <v>男</v>
      </c>
      <c r="H329" s="5"/>
    </row>
    <row r="330" spans="1:8" ht="30" customHeight="1">
      <c r="A330" s="5">
        <v>328</v>
      </c>
      <c r="B330" s="5" t="str">
        <f>"519720230602203640144611"</f>
        <v>519720230602203640144611</v>
      </c>
      <c r="C330" s="5" t="s">
        <v>9</v>
      </c>
      <c r="D330" s="5" t="str">
        <f t="shared" si="25"/>
        <v>0102</v>
      </c>
      <c r="E330" s="5" t="s">
        <v>11</v>
      </c>
      <c r="F330" s="5" t="str">
        <f>"吴柔慧"</f>
        <v>吴柔慧</v>
      </c>
      <c r="G330" s="5" t="str">
        <f>"女"</f>
        <v>女</v>
      </c>
      <c r="H330" s="5"/>
    </row>
    <row r="331" spans="1:8" ht="30" customHeight="1">
      <c r="A331" s="5">
        <v>329</v>
      </c>
      <c r="B331" s="5" t="str">
        <f>"519720230602230943144639"</f>
        <v>519720230602230943144639</v>
      </c>
      <c r="C331" s="5" t="s">
        <v>9</v>
      </c>
      <c r="D331" s="5" t="str">
        <f t="shared" si="25"/>
        <v>0102</v>
      </c>
      <c r="E331" s="5" t="s">
        <v>11</v>
      </c>
      <c r="F331" s="5" t="str">
        <f>"曹小川"</f>
        <v>曹小川</v>
      </c>
      <c r="G331" s="5" t="str">
        <f>"男"</f>
        <v>男</v>
      </c>
      <c r="H331" s="5"/>
    </row>
    <row r="332" spans="1:8" ht="30" customHeight="1">
      <c r="A332" s="5">
        <v>330</v>
      </c>
      <c r="B332" s="5" t="str">
        <f>"519720230603093454144665"</f>
        <v>519720230603093454144665</v>
      </c>
      <c r="C332" s="5" t="s">
        <v>9</v>
      </c>
      <c r="D332" s="5" t="str">
        <f t="shared" si="25"/>
        <v>0102</v>
      </c>
      <c r="E332" s="5" t="s">
        <v>11</v>
      </c>
      <c r="F332" s="5" t="str">
        <f>"黎敏"</f>
        <v>黎敏</v>
      </c>
      <c r="G332" s="5" t="str">
        <f>"女"</f>
        <v>女</v>
      </c>
      <c r="H332" s="5"/>
    </row>
    <row r="333" spans="1:8" ht="30" customHeight="1">
      <c r="A333" s="5">
        <v>331</v>
      </c>
      <c r="B333" s="5" t="str">
        <f>"519720230603100346144669"</f>
        <v>519720230603100346144669</v>
      </c>
      <c r="C333" s="5" t="s">
        <v>9</v>
      </c>
      <c r="D333" s="5" t="str">
        <f t="shared" si="25"/>
        <v>0102</v>
      </c>
      <c r="E333" s="5" t="s">
        <v>11</v>
      </c>
      <c r="F333" s="5" t="str">
        <f>"胡金柱"</f>
        <v>胡金柱</v>
      </c>
      <c r="G333" s="5" t="str">
        <f>"男"</f>
        <v>男</v>
      </c>
      <c r="H333" s="5"/>
    </row>
    <row r="334" spans="1:8" ht="30" customHeight="1">
      <c r="A334" s="5">
        <v>332</v>
      </c>
      <c r="B334" s="5" t="str">
        <f>"519720230531145731144291"</f>
        <v>519720230531145731144291</v>
      </c>
      <c r="C334" s="5" t="s">
        <v>9</v>
      </c>
      <c r="D334" s="5" t="str">
        <f t="shared" si="25"/>
        <v>0102</v>
      </c>
      <c r="E334" s="5" t="s">
        <v>11</v>
      </c>
      <c r="F334" s="5" t="str">
        <f>"罗素梅"</f>
        <v>罗素梅</v>
      </c>
      <c r="G334" s="5" t="str">
        <f aca="true" t="shared" si="27" ref="G334:G342">"女"</f>
        <v>女</v>
      </c>
      <c r="H334" s="5"/>
    </row>
    <row r="335" spans="1:8" ht="30" customHeight="1">
      <c r="A335" s="5">
        <v>333</v>
      </c>
      <c r="B335" s="5" t="str">
        <f>"519720230602142650144556"</f>
        <v>519720230602142650144556</v>
      </c>
      <c r="C335" s="5" t="s">
        <v>9</v>
      </c>
      <c r="D335" s="5" t="str">
        <f t="shared" si="25"/>
        <v>0102</v>
      </c>
      <c r="E335" s="5" t="s">
        <v>11</v>
      </c>
      <c r="F335" s="5" t="str">
        <f>"冯馨怡"</f>
        <v>冯馨怡</v>
      </c>
      <c r="G335" s="5" t="str">
        <f t="shared" si="27"/>
        <v>女</v>
      </c>
      <c r="H335" s="5"/>
    </row>
    <row r="336" spans="1:8" ht="30" customHeight="1">
      <c r="A336" s="5">
        <v>334</v>
      </c>
      <c r="B336" s="5" t="str">
        <f>"519720230522093958142258"</f>
        <v>519720230522093958142258</v>
      </c>
      <c r="C336" s="5" t="s">
        <v>9</v>
      </c>
      <c r="D336" s="5" t="str">
        <f t="shared" si="25"/>
        <v>0102</v>
      </c>
      <c r="E336" s="5" t="s">
        <v>11</v>
      </c>
      <c r="F336" s="5" t="str">
        <f>"周慧"</f>
        <v>周慧</v>
      </c>
      <c r="G336" s="5" t="str">
        <f t="shared" si="27"/>
        <v>女</v>
      </c>
      <c r="H336" s="5"/>
    </row>
    <row r="337" spans="1:8" ht="30" customHeight="1">
      <c r="A337" s="5">
        <v>335</v>
      </c>
      <c r="B337" s="5" t="str">
        <f>"519720230523181812142856"</f>
        <v>519720230523181812142856</v>
      </c>
      <c r="C337" s="5" t="s">
        <v>9</v>
      </c>
      <c r="D337" s="5" t="str">
        <f t="shared" si="25"/>
        <v>0102</v>
      </c>
      <c r="E337" s="5" t="s">
        <v>11</v>
      </c>
      <c r="F337" s="5" t="str">
        <f>"曹楠"</f>
        <v>曹楠</v>
      </c>
      <c r="G337" s="5" t="str">
        <f t="shared" si="27"/>
        <v>女</v>
      </c>
      <c r="H337" s="5"/>
    </row>
    <row r="338" spans="1:8" ht="30" customHeight="1">
      <c r="A338" s="5">
        <v>336</v>
      </c>
      <c r="B338" s="5" t="str">
        <f>"519720230603202322144731"</f>
        <v>519720230603202322144731</v>
      </c>
      <c r="C338" s="5" t="s">
        <v>9</v>
      </c>
      <c r="D338" s="5" t="str">
        <f t="shared" si="25"/>
        <v>0102</v>
      </c>
      <c r="E338" s="5" t="s">
        <v>11</v>
      </c>
      <c r="F338" s="5" t="str">
        <f>"龙雪莲"</f>
        <v>龙雪莲</v>
      </c>
      <c r="G338" s="5" t="str">
        <f t="shared" si="27"/>
        <v>女</v>
      </c>
      <c r="H338" s="5"/>
    </row>
    <row r="339" spans="1:8" ht="30" customHeight="1">
      <c r="A339" s="5">
        <v>337</v>
      </c>
      <c r="B339" s="5" t="str">
        <f>"519720230603205657144735"</f>
        <v>519720230603205657144735</v>
      </c>
      <c r="C339" s="5" t="s">
        <v>9</v>
      </c>
      <c r="D339" s="5" t="str">
        <f t="shared" si="25"/>
        <v>0102</v>
      </c>
      <c r="E339" s="5" t="s">
        <v>11</v>
      </c>
      <c r="F339" s="5" t="str">
        <f>"李洋"</f>
        <v>李洋</v>
      </c>
      <c r="G339" s="5" t="str">
        <f t="shared" si="27"/>
        <v>女</v>
      </c>
      <c r="H339" s="5"/>
    </row>
    <row r="340" spans="1:8" ht="30" customHeight="1">
      <c r="A340" s="5">
        <v>338</v>
      </c>
      <c r="B340" s="5" t="str">
        <f>"519720230603224700144746"</f>
        <v>519720230603224700144746</v>
      </c>
      <c r="C340" s="5" t="s">
        <v>9</v>
      </c>
      <c r="D340" s="5" t="str">
        <f t="shared" si="25"/>
        <v>0102</v>
      </c>
      <c r="E340" s="5" t="s">
        <v>11</v>
      </c>
      <c r="F340" s="5" t="str">
        <f>"谢瑾"</f>
        <v>谢瑾</v>
      </c>
      <c r="G340" s="5" t="str">
        <f t="shared" si="27"/>
        <v>女</v>
      </c>
      <c r="H340" s="5"/>
    </row>
    <row r="341" spans="1:8" ht="30" customHeight="1">
      <c r="A341" s="5">
        <v>339</v>
      </c>
      <c r="B341" s="5" t="str">
        <f>"519720230603160736144702"</f>
        <v>519720230603160736144702</v>
      </c>
      <c r="C341" s="5" t="s">
        <v>9</v>
      </c>
      <c r="D341" s="5" t="str">
        <f t="shared" si="25"/>
        <v>0102</v>
      </c>
      <c r="E341" s="5" t="s">
        <v>11</v>
      </c>
      <c r="F341" s="5" t="str">
        <f>"林雨"</f>
        <v>林雨</v>
      </c>
      <c r="G341" s="5" t="str">
        <f t="shared" si="27"/>
        <v>女</v>
      </c>
      <c r="H341" s="5"/>
    </row>
    <row r="342" spans="1:8" ht="30" customHeight="1">
      <c r="A342" s="5">
        <v>340</v>
      </c>
      <c r="B342" s="5" t="str">
        <f>"519720230530125043143980"</f>
        <v>519720230530125043143980</v>
      </c>
      <c r="C342" s="5" t="s">
        <v>9</v>
      </c>
      <c r="D342" s="5" t="str">
        <f t="shared" si="25"/>
        <v>0102</v>
      </c>
      <c r="E342" s="5" t="s">
        <v>11</v>
      </c>
      <c r="F342" s="5" t="str">
        <f>"张仕金"</f>
        <v>张仕金</v>
      </c>
      <c r="G342" s="5" t="str">
        <f t="shared" si="27"/>
        <v>女</v>
      </c>
      <c r="H342" s="5"/>
    </row>
    <row r="343" spans="1:8" ht="30" customHeight="1">
      <c r="A343" s="5">
        <v>341</v>
      </c>
      <c r="B343" s="5" t="str">
        <f>"519720230604074017144760"</f>
        <v>519720230604074017144760</v>
      </c>
      <c r="C343" s="5" t="s">
        <v>9</v>
      </c>
      <c r="D343" s="5" t="str">
        <f t="shared" si="25"/>
        <v>0102</v>
      </c>
      <c r="E343" s="5" t="s">
        <v>11</v>
      </c>
      <c r="F343" s="5" t="str">
        <f>"陈柏冲"</f>
        <v>陈柏冲</v>
      </c>
      <c r="G343" s="5" t="str">
        <f>"男"</f>
        <v>男</v>
      </c>
      <c r="H343" s="5"/>
    </row>
    <row r="344" spans="1:8" ht="30" customHeight="1">
      <c r="A344" s="5">
        <v>342</v>
      </c>
      <c r="B344" s="5" t="str">
        <f>"519720230602110602144532"</f>
        <v>519720230602110602144532</v>
      </c>
      <c r="C344" s="5" t="s">
        <v>9</v>
      </c>
      <c r="D344" s="5" t="str">
        <f t="shared" si="25"/>
        <v>0102</v>
      </c>
      <c r="E344" s="5" t="s">
        <v>11</v>
      </c>
      <c r="F344" s="5" t="str">
        <f>"李娜"</f>
        <v>李娜</v>
      </c>
      <c r="G344" s="5" t="str">
        <f>"女"</f>
        <v>女</v>
      </c>
      <c r="H344" s="5"/>
    </row>
    <row r="345" spans="1:8" ht="30" customHeight="1">
      <c r="A345" s="5">
        <v>343</v>
      </c>
      <c r="B345" s="5" t="str">
        <f>"519720230531103626144243"</f>
        <v>519720230531103626144243</v>
      </c>
      <c r="C345" s="5" t="s">
        <v>9</v>
      </c>
      <c r="D345" s="5" t="str">
        <f t="shared" si="25"/>
        <v>0102</v>
      </c>
      <c r="E345" s="5" t="s">
        <v>11</v>
      </c>
      <c r="F345" s="5" t="str">
        <f>"梁晓垌"</f>
        <v>梁晓垌</v>
      </c>
      <c r="G345" s="5" t="str">
        <f>"男"</f>
        <v>男</v>
      </c>
      <c r="H345" s="5"/>
    </row>
    <row r="346" spans="1:8" ht="30" customHeight="1">
      <c r="A346" s="5">
        <v>344</v>
      </c>
      <c r="B346" s="5" t="str">
        <f>"519720230531181036144321"</f>
        <v>519720230531181036144321</v>
      </c>
      <c r="C346" s="5" t="s">
        <v>9</v>
      </c>
      <c r="D346" s="5" t="str">
        <f t="shared" si="25"/>
        <v>0102</v>
      </c>
      <c r="E346" s="5" t="s">
        <v>11</v>
      </c>
      <c r="F346" s="5" t="str">
        <f>"李新"</f>
        <v>李新</v>
      </c>
      <c r="G346" s="5" t="str">
        <f>"女"</f>
        <v>女</v>
      </c>
      <c r="H346" s="5"/>
    </row>
    <row r="347" spans="1:8" ht="30" customHeight="1">
      <c r="A347" s="5">
        <v>345</v>
      </c>
      <c r="B347" s="5" t="str">
        <f>"519720230604144041144800"</f>
        <v>519720230604144041144800</v>
      </c>
      <c r="C347" s="5" t="s">
        <v>9</v>
      </c>
      <c r="D347" s="5" t="str">
        <f t="shared" si="25"/>
        <v>0102</v>
      </c>
      <c r="E347" s="5" t="s">
        <v>11</v>
      </c>
      <c r="F347" s="5" t="str">
        <f>"王小珍"</f>
        <v>王小珍</v>
      </c>
      <c r="G347" s="5" t="str">
        <f>"女"</f>
        <v>女</v>
      </c>
      <c r="H347" s="5"/>
    </row>
    <row r="348" spans="1:8" ht="30" customHeight="1">
      <c r="A348" s="5">
        <v>346</v>
      </c>
      <c r="B348" s="5" t="str">
        <f>"519720230604145311144802"</f>
        <v>519720230604145311144802</v>
      </c>
      <c r="C348" s="5" t="s">
        <v>9</v>
      </c>
      <c r="D348" s="5" t="str">
        <f t="shared" si="25"/>
        <v>0102</v>
      </c>
      <c r="E348" s="5" t="s">
        <v>11</v>
      </c>
      <c r="F348" s="5" t="str">
        <f>"何贤洁"</f>
        <v>何贤洁</v>
      </c>
      <c r="G348" s="5" t="str">
        <f>"女"</f>
        <v>女</v>
      </c>
      <c r="H348" s="5"/>
    </row>
    <row r="349" spans="1:8" ht="30" customHeight="1">
      <c r="A349" s="5">
        <v>347</v>
      </c>
      <c r="B349" s="5" t="str">
        <f>"519720230523220807142905"</f>
        <v>519720230523220807142905</v>
      </c>
      <c r="C349" s="5" t="s">
        <v>9</v>
      </c>
      <c r="D349" s="5" t="str">
        <f t="shared" si="25"/>
        <v>0102</v>
      </c>
      <c r="E349" s="5" t="s">
        <v>11</v>
      </c>
      <c r="F349" s="5" t="str">
        <f>"骆钰豐"</f>
        <v>骆钰豐</v>
      </c>
      <c r="G349" s="5" t="str">
        <f>"男"</f>
        <v>男</v>
      </c>
      <c r="H349" s="5"/>
    </row>
    <row r="350" spans="1:8" ht="30" customHeight="1">
      <c r="A350" s="5">
        <v>348</v>
      </c>
      <c r="B350" s="5" t="str">
        <f>"519720230604171342144815"</f>
        <v>519720230604171342144815</v>
      </c>
      <c r="C350" s="5" t="s">
        <v>9</v>
      </c>
      <c r="D350" s="5" t="str">
        <f t="shared" si="25"/>
        <v>0102</v>
      </c>
      <c r="E350" s="5" t="s">
        <v>11</v>
      </c>
      <c r="F350" s="5" t="str">
        <f>"陈永钦"</f>
        <v>陈永钦</v>
      </c>
      <c r="G350" s="5" t="str">
        <f>"女"</f>
        <v>女</v>
      </c>
      <c r="H350" s="5"/>
    </row>
    <row r="351" spans="1:8" ht="30" customHeight="1">
      <c r="A351" s="5">
        <v>349</v>
      </c>
      <c r="B351" s="5" t="str">
        <f>"519720230529170358143718"</f>
        <v>519720230529170358143718</v>
      </c>
      <c r="C351" s="5" t="s">
        <v>9</v>
      </c>
      <c r="D351" s="5" t="str">
        <f aca="true" t="shared" si="28" ref="D351:D414">"0102"</f>
        <v>0102</v>
      </c>
      <c r="E351" s="5" t="s">
        <v>11</v>
      </c>
      <c r="F351" s="5" t="str">
        <f>"叶鉴辉"</f>
        <v>叶鉴辉</v>
      </c>
      <c r="G351" s="5" t="str">
        <f>"男"</f>
        <v>男</v>
      </c>
      <c r="H351" s="5"/>
    </row>
    <row r="352" spans="1:8" ht="30" customHeight="1">
      <c r="A352" s="5">
        <v>350</v>
      </c>
      <c r="B352" s="5" t="str">
        <f>"519720230604155245144805"</f>
        <v>519720230604155245144805</v>
      </c>
      <c r="C352" s="5" t="s">
        <v>9</v>
      </c>
      <c r="D352" s="5" t="str">
        <f t="shared" si="28"/>
        <v>0102</v>
      </c>
      <c r="E352" s="5" t="s">
        <v>11</v>
      </c>
      <c r="F352" s="5" t="str">
        <f>"林慧子"</f>
        <v>林慧子</v>
      </c>
      <c r="G352" s="5" t="str">
        <f>"女"</f>
        <v>女</v>
      </c>
      <c r="H352" s="5"/>
    </row>
    <row r="353" spans="1:8" ht="30" customHeight="1">
      <c r="A353" s="5">
        <v>351</v>
      </c>
      <c r="B353" s="5" t="str">
        <f>"519720230603172914144709"</f>
        <v>519720230603172914144709</v>
      </c>
      <c r="C353" s="5" t="s">
        <v>9</v>
      </c>
      <c r="D353" s="5" t="str">
        <f t="shared" si="28"/>
        <v>0102</v>
      </c>
      <c r="E353" s="5" t="s">
        <v>11</v>
      </c>
      <c r="F353" s="5" t="str">
        <f>"邢诗昊"</f>
        <v>邢诗昊</v>
      </c>
      <c r="G353" s="5" t="str">
        <f>"男"</f>
        <v>男</v>
      </c>
      <c r="H353" s="5"/>
    </row>
    <row r="354" spans="1:8" ht="30" customHeight="1">
      <c r="A354" s="5">
        <v>352</v>
      </c>
      <c r="B354" s="5" t="str">
        <f>"519720230523160704142804"</f>
        <v>519720230523160704142804</v>
      </c>
      <c r="C354" s="5" t="s">
        <v>9</v>
      </c>
      <c r="D354" s="5" t="str">
        <f t="shared" si="28"/>
        <v>0102</v>
      </c>
      <c r="E354" s="5" t="s">
        <v>11</v>
      </c>
      <c r="F354" s="5" t="str">
        <f>"陈钰"</f>
        <v>陈钰</v>
      </c>
      <c r="G354" s="5" t="str">
        <f>"女"</f>
        <v>女</v>
      </c>
      <c r="H354" s="5" t="s">
        <v>13</v>
      </c>
    </row>
    <row r="355" spans="1:8" ht="30" customHeight="1">
      <c r="A355" s="5">
        <v>353</v>
      </c>
      <c r="B355" s="5" t="str">
        <f>"519720230604175506144825"</f>
        <v>519720230604175506144825</v>
      </c>
      <c r="C355" s="5" t="s">
        <v>9</v>
      </c>
      <c r="D355" s="5" t="str">
        <f t="shared" si="28"/>
        <v>0102</v>
      </c>
      <c r="E355" s="5" t="s">
        <v>11</v>
      </c>
      <c r="F355" s="5" t="str">
        <f>"邹昌宇"</f>
        <v>邹昌宇</v>
      </c>
      <c r="G355" s="5" t="str">
        <f>"男"</f>
        <v>男</v>
      </c>
      <c r="H355" s="5"/>
    </row>
    <row r="356" spans="1:8" ht="30" customHeight="1">
      <c r="A356" s="5">
        <v>354</v>
      </c>
      <c r="B356" s="5" t="str">
        <f>"519720230604131143144792"</f>
        <v>519720230604131143144792</v>
      </c>
      <c r="C356" s="5" t="s">
        <v>9</v>
      </c>
      <c r="D356" s="5" t="str">
        <f t="shared" si="28"/>
        <v>0102</v>
      </c>
      <c r="E356" s="5" t="s">
        <v>11</v>
      </c>
      <c r="F356" s="5" t="str">
        <f>"邢孔瑜"</f>
        <v>邢孔瑜</v>
      </c>
      <c r="G356" s="5" t="str">
        <f aca="true" t="shared" si="29" ref="G356:G366">"女"</f>
        <v>女</v>
      </c>
      <c r="H356" s="5"/>
    </row>
    <row r="357" spans="1:8" ht="30" customHeight="1">
      <c r="A357" s="5">
        <v>355</v>
      </c>
      <c r="B357" s="5" t="str">
        <f>"519720230524152917143022"</f>
        <v>519720230524152917143022</v>
      </c>
      <c r="C357" s="5" t="s">
        <v>9</v>
      </c>
      <c r="D357" s="5" t="str">
        <f t="shared" si="28"/>
        <v>0102</v>
      </c>
      <c r="E357" s="5" t="s">
        <v>11</v>
      </c>
      <c r="F357" s="5" t="str">
        <f>"吉姝锡"</f>
        <v>吉姝锡</v>
      </c>
      <c r="G357" s="5" t="str">
        <f t="shared" si="29"/>
        <v>女</v>
      </c>
      <c r="H357" s="5"/>
    </row>
    <row r="358" spans="1:8" ht="30" customHeight="1">
      <c r="A358" s="5">
        <v>356</v>
      </c>
      <c r="B358" s="5" t="str">
        <f>"519720230604214416144851"</f>
        <v>519720230604214416144851</v>
      </c>
      <c r="C358" s="5" t="s">
        <v>9</v>
      </c>
      <c r="D358" s="5" t="str">
        <f t="shared" si="28"/>
        <v>0102</v>
      </c>
      <c r="E358" s="5" t="s">
        <v>11</v>
      </c>
      <c r="F358" s="5" t="str">
        <f>"杨健平"</f>
        <v>杨健平</v>
      </c>
      <c r="G358" s="5" t="str">
        <f t="shared" si="29"/>
        <v>女</v>
      </c>
      <c r="H358" s="5"/>
    </row>
    <row r="359" spans="1:8" ht="30" customHeight="1">
      <c r="A359" s="5">
        <v>357</v>
      </c>
      <c r="B359" s="5" t="str">
        <f>"519720230604213827144850"</f>
        <v>519720230604213827144850</v>
      </c>
      <c r="C359" s="5" t="s">
        <v>9</v>
      </c>
      <c r="D359" s="5" t="str">
        <f t="shared" si="28"/>
        <v>0102</v>
      </c>
      <c r="E359" s="5" t="s">
        <v>11</v>
      </c>
      <c r="F359" s="5" t="str">
        <f>"陈妍婷"</f>
        <v>陈妍婷</v>
      </c>
      <c r="G359" s="5" t="str">
        <f t="shared" si="29"/>
        <v>女</v>
      </c>
      <c r="H359" s="5"/>
    </row>
    <row r="360" spans="1:8" ht="30" customHeight="1">
      <c r="A360" s="5">
        <v>358</v>
      </c>
      <c r="B360" s="5" t="str">
        <f>"519720230604184729144834"</f>
        <v>519720230604184729144834</v>
      </c>
      <c r="C360" s="5" t="s">
        <v>9</v>
      </c>
      <c r="D360" s="5" t="str">
        <f t="shared" si="28"/>
        <v>0102</v>
      </c>
      <c r="E360" s="5" t="s">
        <v>11</v>
      </c>
      <c r="F360" s="5" t="str">
        <f>"韦吉琴"</f>
        <v>韦吉琴</v>
      </c>
      <c r="G360" s="5" t="str">
        <f t="shared" si="29"/>
        <v>女</v>
      </c>
      <c r="H360" s="5"/>
    </row>
    <row r="361" spans="1:8" ht="30" customHeight="1">
      <c r="A361" s="5">
        <v>359</v>
      </c>
      <c r="B361" s="5" t="str">
        <f>"519720230604220212144853"</f>
        <v>519720230604220212144853</v>
      </c>
      <c r="C361" s="5" t="s">
        <v>9</v>
      </c>
      <c r="D361" s="5" t="str">
        <f t="shared" si="28"/>
        <v>0102</v>
      </c>
      <c r="E361" s="5" t="s">
        <v>11</v>
      </c>
      <c r="F361" s="5" t="str">
        <f>"王慧"</f>
        <v>王慧</v>
      </c>
      <c r="G361" s="5" t="str">
        <f t="shared" si="29"/>
        <v>女</v>
      </c>
      <c r="H361" s="5"/>
    </row>
    <row r="362" spans="1:8" ht="30" customHeight="1">
      <c r="A362" s="5">
        <v>360</v>
      </c>
      <c r="B362" s="5" t="str">
        <f>"519720230604223423144858"</f>
        <v>519720230604223423144858</v>
      </c>
      <c r="C362" s="5" t="s">
        <v>9</v>
      </c>
      <c r="D362" s="5" t="str">
        <f t="shared" si="28"/>
        <v>0102</v>
      </c>
      <c r="E362" s="5" t="s">
        <v>11</v>
      </c>
      <c r="F362" s="5" t="str">
        <f>"高远"</f>
        <v>高远</v>
      </c>
      <c r="G362" s="5" t="str">
        <f t="shared" si="29"/>
        <v>女</v>
      </c>
      <c r="H362" s="5"/>
    </row>
    <row r="363" spans="1:8" ht="30" customHeight="1">
      <c r="A363" s="5">
        <v>361</v>
      </c>
      <c r="B363" s="5" t="str">
        <f>"519720230604232126144867"</f>
        <v>519720230604232126144867</v>
      </c>
      <c r="C363" s="5" t="s">
        <v>9</v>
      </c>
      <c r="D363" s="5" t="str">
        <f t="shared" si="28"/>
        <v>0102</v>
      </c>
      <c r="E363" s="5" t="s">
        <v>11</v>
      </c>
      <c r="F363" s="5" t="str">
        <f>"黎经芸"</f>
        <v>黎经芸</v>
      </c>
      <c r="G363" s="5" t="str">
        <f t="shared" si="29"/>
        <v>女</v>
      </c>
      <c r="H363" s="5"/>
    </row>
    <row r="364" spans="1:8" ht="30" customHeight="1">
      <c r="A364" s="5">
        <v>362</v>
      </c>
      <c r="B364" s="5" t="str">
        <f>"519720230604145111144801"</f>
        <v>519720230604145111144801</v>
      </c>
      <c r="C364" s="5" t="s">
        <v>9</v>
      </c>
      <c r="D364" s="5" t="str">
        <f t="shared" si="28"/>
        <v>0102</v>
      </c>
      <c r="E364" s="5" t="s">
        <v>11</v>
      </c>
      <c r="F364" s="5" t="str">
        <f>"王文颖"</f>
        <v>王文颖</v>
      </c>
      <c r="G364" s="5" t="str">
        <f t="shared" si="29"/>
        <v>女</v>
      </c>
      <c r="H364" s="5"/>
    </row>
    <row r="365" spans="1:8" ht="30" customHeight="1">
      <c r="A365" s="5">
        <v>363</v>
      </c>
      <c r="B365" s="5" t="str">
        <f>"519720230605080638144882"</f>
        <v>519720230605080638144882</v>
      </c>
      <c r="C365" s="5" t="s">
        <v>9</v>
      </c>
      <c r="D365" s="5" t="str">
        <f t="shared" si="28"/>
        <v>0102</v>
      </c>
      <c r="E365" s="5" t="s">
        <v>11</v>
      </c>
      <c r="F365" s="5" t="str">
        <f>"高假连"</f>
        <v>高假连</v>
      </c>
      <c r="G365" s="5" t="str">
        <f t="shared" si="29"/>
        <v>女</v>
      </c>
      <c r="H365" s="5"/>
    </row>
    <row r="366" spans="1:8" ht="30" customHeight="1">
      <c r="A366" s="5">
        <v>364</v>
      </c>
      <c r="B366" s="5" t="str">
        <f>"519720230601222050144459"</f>
        <v>519720230601222050144459</v>
      </c>
      <c r="C366" s="5" t="s">
        <v>9</v>
      </c>
      <c r="D366" s="5" t="str">
        <f t="shared" si="28"/>
        <v>0102</v>
      </c>
      <c r="E366" s="5" t="s">
        <v>11</v>
      </c>
      <c r="F366" s="5" t="str">
        <f>"王薇"</f>
        <v>王薇</v>
      </c>
      <c r="G366" s="5" t="str">
        <f t="shared" si="29"/>
        <v>女</v>
      </c>
      <c r="H366" s="5"/>
    </row>
    <row r="367" spans="1:8" ht="30" customHeight="1">
      <c r="A367" s="5">
        <v>365</v>
      </c>
      <c r="B367" s="5" t="str">
        <f>"519720230602155016144566"</f>
        <v>519720230602155016144566</v>
      </c>
      <c r="C367" s="5" t="s">
        <v>9</v>
      </c>
      <c r="D367" s="5" t="str">
        <f t="shared" si="28"/>
        <v>0102</v>
      </c>
      <c r="E367" s="5" t="s">
        <v>11</v>
      </c>
      <c r="F367" s="5" t="str">
        <f>"翟洪宇"</f>
        <v>翟洪宇</v>
      </c>
      <c r="G367" s="5" t="str">
        <f>"男"</f>
        <v>男</v>
      </c>
      <c r="H367" s="5"/>
    </row>
    <row r="368" spans="1:8" ht="30" customHeight="1">
      <c r="A368" s="5">
        <v>366</v>
      </c>
      <c r="B368" s="5" t="str">
        <f>"519720230602090114144491"</f>
        <v>519720230602090114144491</v>
      </c>
      <c r="C368" s="5" t="s">
        <v>9</v>
      </c>
      <c r="D368" s="5" t="str">
        <f t="shared" si="28"/>
        <v>0102</v>
      </c>
      <c r="E368" s="5" t="s">
        <v>11</v>
      </c>
      <c r="F368" s="5" t="str">
        <f>"高建波"</f>
        <v>高建波</v>
      </c>
      <c r="G368" s="5" t="str">
        <f>"男"</f>
        <v>男</v>
      </c>
      <c r="H368" s="5"/>
    </row>
    <row r="369" spans="1:8" ht="30" customHeight="1">
      <c r="A369" s="5">
        <v>367</v>
      </c>
      <c r="B369" s="5" t="str">
        <f>"519720230605110508144932"</f>
        <v>519720230605110508144932</v>
      </c>
      <c r="C369" s="5" t="s">
        <v>9</v>
      </c>
      <c r="D369" s="5" t="str">
        <f t="shared" si="28"/>
        <v>0102</v>
      </c>
      <c r="E369" s="5" t="s">
        <v>11</v>
      </c>
      <c r="F369" s="5" t="str">
        <f>"何天琳"</f>
        <v>何天琳</v>
      </c>
      <c r="G369" s="5" t="str">
        <f>"女"</f>
        <v>女</v>
      </c>
      <c r="H369" s="5"/>
    </row>
    <row r="370" spans="1:8" ht="30" customHeight="1">
      <c r="A370" s="5">
        <v>368</v>
      </c>
      <c r="B370" s="5" t="str">
        <f>"519720230605110657144933"</f>
        <v>519720230605110657144933</v>
      </c>
      <c r="C370" s="5" t="s">
        <v>9</v>
      </c>
      <c r="D370" s="5" t="str">
        <f t="shared" si="28"/>
        <v>0102</v>
      </c>
      <c r="E370" s="5" t="s">
        <v>11</v>
      </c>
      <c r="F370" s="5" t="str">
        <f>"邓正萃"</f>
        <v>邓正萃</v>
      </c>
      <c r="G370" s="5" t="str">
        <f>"女"</f>
        <v>女</v>
      </c>
      <c r="H370" s="5"/>
    </row>
    <row r="371" spans="1:8" ht="30" customHeight="1">
      <c r="A371" s="5">
        <v>369</v>
      </c>
      <c r="B371" s="5" t="str">
        <f>"519720230605114628144940"</f>
        <v>519720230605114628144940</v>
      </c>
      <c r="C371" s="5" t="s">
        <v>9</v>
      </c>
      <c r="D371" s="5" t="str">
        <f t="shared" si="28"/>
        <v>0102</v>
      </c>
      <c r="E371" s="5" t="s">
        <v>11</v>
      </c>
      <c r="F371" s="5" t="str">
        <f>"黄文"</f>
        <v>黄文</v>
      </c>
      <c r="G371" s="5" t="str">
        <f>"男"</f>
        <v>男</v>
      </c>
      <c r="H371" s="5"/>
    </row>
    <row r="372" spans="1:8" ht="30" customHeight="1">
      <c r="A372" s="5">
        <v>370</v>
      </c>
      <c r="B372" s="5" t="str">
        <f>"519720230526172643143344"</f>
        <v>519720230526172643143344</v>
      </c>
      <c r="C372" s="5" t="s">
        <v>9</v>
      </c>
      <c r="D372" s="5" t="str">
        <f t="shared" si="28"/>
        <v>0102</v>
      </c>
      <c r="E372" s="5" t="s">
        <v>11</v>
      </c>
      <c r="F372" s="5" t="str">
        <f>"陈滢"</f>
        <v>陈滢</v>
      </c>
      <c r="G372" s="5" t="str">
        <f>"女"</f>
        <v>女</v>
      </c>
      <c r="H372" s="5"/>
    </row>
    <row r="373" spans="1:8" ht="30" customHeight="1">
      <c r="A373" s="5">
        <v>371</v>
      </c>
      <c r="B373" s="5" t="str">
        <f>"519720230605093207144898"</f>
        <v>519720230605093207144898</v>
      </c>
      <c r="C373" s="5" t="s">
        <v>9</v>
      </c>
      <c r="D373" s="5" t="str">
        <f t="shared" si="28"/>
        <v>0102</v>
      </c>
      <c r="E373" s="5" t="s">
        <v>11</v>
      </c>
      <c r="F373" s="5" t="str">
        <f>"邢蛟男"</f>
        <v>邢蛟男</v>
      </c>
      <c r="G373" s="5" t="str">
        <f>"女"</f>
        <v>女</v>
      </c>
      <c r="H373" s="5"/>
    </row>
    <row r="374" spans="1:8" ht="30" customHeight="1">
      <c r="A374" s="5">
        <v>372</v>
      </c>
      <c r="B374" s="5" t="str">
        <f>"519720230605122610144951"</f>
        <v>519720230605122610144951</v>
      </c>
      <c r="C374" s="5" t="s">
        <v>9</v>
      </c>
      <c r="D374" s="5" t="str">
        <f t="shared" si="28"/>
        <v>0102</v>
      </c>
      <c r="E374" s="5" t="s">
        <v>11</v>
      </c>
      <c r="F374" s="5" t="str">
        <f>"杨茹"</f>
        <v>杨茹</v>
      </c>
      <c r="G374" s="5" t="str">
        <f>"女"</f>
        <v>女</v>
      </c>
      <c r="H374" s="5"/>
    </row>
    <row r="375" spans="1:8" ht="30" customHeight="1">
      <c r="A375" s="5">
        <v>373</v>
      </c>
      <c r="B375" s="5" t="str">
        <f>"519720230605120803144945"</f>
        <v>519720230605120803144945</v>
      </c>
      <c r="C375" s="5" t="s">
        <v>9</v>
      </c>
      <c r="D375" s="5" t="str">
        <f t="shared" si="28"/>
        <v>0102</v>
      </c>
      <c r="E375" s="5" t="s">
        <v>11</v>
      </c>
      <c r="F375" s="5" t="str">
        <f>"李建君"</f>
        <v>李建君</v>
      </c>
      <c r="G375" s="5" t="str">
        <f>"女"</f>
        <v>女</v>
      </c>
      <c r="H375" s="5"/>
    </row>
    <row r="376" spans="1:8" ht="30" customHeight="1">
      <c r="A376" s="5">
        <v>374</v>
      </c>
      <c r="B376" s="5" t="str">
        <f>"519720230605124216144954"</f>
        <v>519720230605124216144954</v>
      </c>
      <c r="C376" s="5" t="s">
        <v>9</v>
      </c>
      <c r="D376" s="5" t="str">
        <f t="shared" si="28"/>
        <v>0102</v>
      </c>
      <c r="E376" s="5" t="s">
        <v>11</v>
      </c>
      <c r="F376" s="5" t="str">
        <f>"郭于婷"</f>
        <v>郭于婷</v>
      </c>
      <c r="G376" s="5" t="str">
        <f>"女"</f>
        <v>女</v>
      </c>
      <c r="H376" s="5"/>
    </row>
    <row r="377" spans="1:8" ht="30" customHeight="1">
      <c r="A377" s="5">
        <v>375</v>
      </c>
      <c r="B377" s="5" t="str">
        <f>"519720230530214443144144"</f>
        <v>519720230530214443144144</v>
      </c>
      <c r="C377" s="5" t="s">
        <v>9</v>
      </c>
      <c r="D377" s="5" t="str">
        <f t="shared" si="28"/>
        <v>0102</v>
      </c>
      <c r="E377" s="5" t="s">
        <v>11</v>
      </c>
      <c r="F377" s="5" t="str">
        <f>"唐宏嘉"</f>
        <v>唐宏嘉</v>
      </c>
      <c r="G377" s="5" t="str">
        <f>"男"</f>
        <v>男</v>
      </c>
      <c r="H377" s="5"/>
    </row>
    <row r="378" spans="1:8" ht="30" customHeight="1">
      <c r="A378" s="5">
        <v>376</v>
      </c>
      <c r="B378" s="5" t="str">
        <f>"519720230605083804144889"</f>
        <v>519720230605083804144889</v>
      </c>
      <c r="C378" s="5" t="s">
        <v>9</v>
      </c>
      <c r="D378" s="5" t="str">
        <f t="shared" si="28"/>
        <v>0102</v>
      </c>
      <c r="E378" s="5" t="s">
        <v>11</v>
      </c>
      <c r="F378" s="5" t="str">
        <f>"廖雯"</f>
        <v>廖雯</v>
      </c>
      <c r="G378" s="5" t="str">
        <f aca="true" t="shared" si="30" ref="G378:G384">"女"</f>
        <v>女</v>
      </c>
      <c r="H378" s="5"/>
    </row>
    <row r="379" spans="1:8" ht="30" customHeight="1">
      <c r="A379" s="5">
        <v>377</v>
      </c>
      <c r="B379" s="5" t="str">
        <f>"519720230605125418144956"</f>
        <v>519720230605125418144956</v>
      </c>
      <c r="C379" s="5" t="s">
        <v>9</v>
      </c>
      <c r="D379" s="5" t="str">
        <f t="shared" si="28"/>
        <v>0102</v>
      </c>
      <c r="E379" s="5" t="s">
        <v>11</v>
      </c>
      <c r="F379" s="5" t="str">
        <f>"黄秋凤"</f>
        <v>黄秋凤</v>
      </c>
      <c r="G379" s="5" t="str">
        <f t="shared" si="30"/>
        <v>女</v>
      </c>
      <c r="H379" s="5"/>
    </row>
    <row r="380" spans="1:8" ht="30" customHeight="1">
      <c r="A380" s="5">
        <v>378</v>
      </c>
      <c r="B380" s="5" t="str">
        <f>"519720230605135211144969"</f>
        <v>519720230605135211144969</v>
      </c>
      <c r="C380" s="5" t="s">
        <v>9</v>
      </c>
      <c r="D380" s="5" t="str">
        <f t="shared" si="28"/>
        <v>0102</v>
      </c>
      <c r="E380" s="5" t="s">
        <v>11</v>
      </c>
      <c r="F380" s="5" t="str">
        <f>"刘畅"</f>
        <v>刘畅</v>
      </c>
      <c r="G380" s="5" t="str">
        <f t="shared" si="30"/>
        <v>女</v>
      </c>
      <c r="H380" s="5"/>
    </row>
    <row r="381" spans="1:8" ht="30" customHeight="1">
      <c r="A381" s="5">
        <v>379</v>
      </c>
      <c r="B381" s="5" t="str">
        <f>"519720230529162926143707"</f>
        <v>519720230529162926143707</v>
      </c>
      <c r="C381" s="5" t="s">
        <v>9</v>
      </c>
      <c r="D381" s="5" t="str">
        <f t="shared" si="28"/>
        <v>0102</v>
      </c>
      <c r="E381" s="5" t="s">
        <v>11</v>
      </c>
      <c r="F381" s="5" t="str">
        <f>"冯晴"</f>
        <v>冯晴</v>
      </c>
      <c r="G381" s="5" t="str">
        <f t="shared" si="30"/>
        <v>女</v>
      </c>
      <c r="H381" s="5"/>
    </row>
    <row r="382" spans="1:8" ht="30" customHeight="1">
      <c r="A382" s="5">
        <v>380</v>
      </c>
      <c r="B382" s="5" t="str">
        <f>"519720230604234651144868"</f>
        <v>519720230604234651144868</v>
      </c>
      <c r="C382" s="5" t="s">
        <v>9</v>
      </c>
      <c r="D382" s="5" t="str">
        <f t="shared" si="28"/>
        <v>0102</v>
      </c>
      <c r="E382" s="5" t="s">
        <v>11</v>
      </c>
      <c r="F382" s="5" t="str">
        <f>"蔡珏"</f>
        <v>蔡珏</v>
      </c>
      <c r="G382" s="5" t="str">
        <f t="shared" si="30"/>
        <v>女</v>
      </c>
      <c r="H382" s="5"/>
    </row>
    <row r="383" spans="1:8" ht="30" customHeight="1">
      <c r="A383" s="5">
        <v>381</v>
      </c>
      <c r="B383" s="5" t="str">
        <f>"519720230605145550144974"</f>
        <v>519720230605145550144974</v>
      </c>
      <c r="C383" s="5" t="s">
        <v>9</v>
      </c>
      <c r="D383" s="5" t="str">
        <f t="shared" si="28"/>
        <v>0102</v>
      </c>
      <c r="E383" s="5" t="s">
        <v>11</v>
      </c>
      <c r="F383" s="5" t="str">
        <f>"文嘉嘉"</f>
        <v>文嘉嘉</v>
      </c>
      <c r="G383" s="5" t="str">
        <f t="shared" si="30"/>
        <v>女</v>
      </c>
      <c r="H383" s="5"/>
    </row>
    <row r="384" spans="1:8" ht="30" customHeight="1">
      <c r="A384" s="5">
        <v>382</v>
      </c>
      <c r="B384" s="5" t="str">
        <f>"519720230528103502143448"</f>
        <v>519720230528103502143448</v>
      </c>
      <c r="C384" s="5" t="s">
        <v>9</v>
      </c>
      <c r="D384" s="5" t="str">
        <f t="shared" si="28"/>
        <v>0102</v>
      </c>
      <c r="E384" s="5" t="s">
        <v>11</v>
      </c>
      <c r="F384" s="5" t="str">
        <f>"赵航"</f>
        <v>赵航</v>
      </c>
      <c r="G384" s="5" t="str">
        <f t="shared" si="30"/>
        <v>女</v>
      </c>
      <c r="H384" s="5"/>
    </row>
    <row r="385" spans="1:8" ht="30" customHeight="1">
      <c r="A385" s="5">
        <v>383</v>
      </c>
      <c r="B385" s="5" t="str">
        <f>"519720230604143324144799"</f>
        <v>519720230604143324144799</v>
      </c>
      <c r="C385" s="5" t="s">
        <v>9</v>
      </c>
      <c r="D385" s="5" t="str">
        <f t="shared" si="28"/>
        <v>0102</v>
      </c>
      <c r="E385" s="5" t="s">
        <v>11</v>
      </c>
      <c r="F385" s="5" t="str">
        <f>"许治能"</f>
        <v>许治能</v>
      </c>
      <c r="G385" s="5" t="str">
        <f>"男"</f>
        <v>男</v>
      </c>
      <c r="H385" s="5"/>
    </row>
    <row r="386" spans="1:8" ht="30" customHeight="1">
      <c r="A386" s="5">
        <v>384</v>
      </c>
      <c r="B386" s="5" t="str">
        <f>"519720230605160700144994"</f>
        <v>519720230605160700144994</v>
      </c>
      <c r="C386" s="5" t="s">
        <v>9</v>
      </c>
      <c r="D386" s="5" t="str">
        <f t="shared" si="28"/>
        <v>0102</v>
      </c>
      <c r="E386" s="5" t="s">
        <v>11</v>
      </c>
      <c r="F386" s="5" t="str">
        <f>"吴应妮"</f>
        <v>吴应妮</v>
      </c>
      <c r="G386" s="5" t="str">
        <f>"女"</f>
        <v>女</v>
      </c>
      <c r="H386" s="5"/>
    </row>
    <row r="387" spans="1:8" ht="30" customHeight="1">
      <c r="A387" s="5">
        <v>385</v>
      </c>
      <c r="B387" s="5" t="str">
        <f>"519720230602164750144579"</f>
        <v>519720230602164750144579</v>
      </c>
      <c r="C387" s="5" t="s">
        <v>9</v>
      </c>
      <c r="D387" s="5" t="str">
        <f t="shared" si="28"/>
        <v>0102</v>
      </c>
      <c r="E387" s="5" t="s">
        <v>11</v>
      </c>
      <c r="F387" s="5" t="str">
        <f>"高丽怀"</f>
        <v>高丽怀</v>
      </c>
      <c r="G387" s="5" t="str">
        <f>"女"</f>
        <v>女</v>
      </c>
      <c r="H387" s="5"/>
    </row>
    <row r="388" spans="1:8" ht="30" customHeight="1">
      <c r="A388" s="5">
        <v>386</v>
      </c>
      <c r="B388" s="5" t="str">
        <f>"519720230605154431144988"</f>
        <v>519720230605154431144988</v>
      </c>
      <c r="C388" s="5" t="s">
        <v>9</v>
      </c>
      <c r="D388" s="5" t="str">
        <f t="shared" si="28"/>
        <v>0102</v>
      </c>
      <c r="E388" s="5" t="s">
        <v>11</v>
      </c>
      <c r="F388" s="5" t="str">
        <f>"贲月"</f>
        <v>贲月</v>
      </c>
      <c r="G388" s="5" t="str">
        <f>"女"</f>
        <v>女</v>
      </c>
      <c r="H388" s="5"/>
    </row>
    <row r="389" spans="1:8" ht="30" customHeight="1">
      <c r="A389" s="5">
        <v>387</v>
      </c>
      <c r="B389" s="5" t="str">
        <f>"519720230604190322144836"</f>
        <v>519720230604190322144836</v>
      </c>
      <c r="C389" s="5" t="s">
        <v>9</v>
      </c>
      <c r="D389" s="5" t="str">
        <f t="shared" si="28"/>
        <v>0102</v>
      </c>
      <c r="E389" s="5" t="s">
        <v>11</v>
      </c>
      <c r="F389" s="5" t="str">
        <f>"罗庭翀"</f>
        <v>罗庭翀</v>
      </c>
      <c r="G389" s="5" t="str">
        <f>"男"</f>
        <v>男</v>
      </c>
      <c r="H389" s="5"/>
    </row>
    <row r="390" spans="1:8" ht="30" customHeight="1">
      <c r="A390" s="5">
        <v>388</v>
      </c>
      <c r="B390" s="5" t="str">
        <f>"519720230604231538144866"</f>
        <v>519720230604231538144866</v>
      </c>
      <c r="C390" s="5" t="s">
        <v>9</v>
      </c>
      <c r="D390" s="5" t="str">
        <f t="shared" si="28"/>
        <v>0102</v>
      </c>
      <c r="E390" s="5" t="s">
        <v>11</v>
      </c>
      <c r="F390" s="5" t="str">
        <f>"卞港港"</f>
        <v>卞港港</v>
      </c>
      <c r="G390" s="5" t="str">
        <f>"男"</f>
        <v>男</v>
      </c>
      <c r="H390" s="5"/>
    </row>
    <row r="391" spans="1:8" ht="30" customHeight="1">
      <c r="A391" s="5">
        <v>389</v>
      </c>
      <c r="B391" s="5" t="str">
        <f>"519720230605105333144924"</f>
        <v>519720230605105333144924</v>
      </c>
      <c r="C391" s="5" t="s">
        <v>9</v>
      </c>
      <c r="D391" s="5" t="str">
        <f t="shared" si="28"/>
        <v>0102</v>
      </c>
      <c r="E391" s="5" t="s">
        <v>11</v>
      </c>
      <c r="F391" s="5" t="str">
        <f>"陈祉萤"</f>
        <v>陈祉萤</v>
      </c>
      <c r="G391" s="5" t="str">
        <f>"女"</f>
        <v>女</v>
      </c>
      <c r="H391" s="5"/>
    </row>
    <row r="392" spans="1:8" ht="30" customHeight="1">
      <c r="A392" s="5">
        <v>390</v>
      </c>
      <c r="B392" s="5" t="str">
        <f>"519720230605180310145024"</f>
        <v>519720230605180310145024</v>
      </c>
      <c r="C392" s="5" t="s">
        <v>9</v>
      </c>
      <c r="D392" s="5" t="str">
        <f t="shared" si="28"/>
        <v>0102</v>
      </c>
      <c r="E392" s="5" t="s">
        <v>11</v>
      </c>
      <c r="F392" s="5" t="str">
        <f>"陈福虹"</f>
        <v>陈福虹</v>
      </c>
      <c r="G392" s="5" t="str">
        <f>"女"</f>
        <v>女</v>
      </c>
      <c r="H392" s="5"/>
    </row>
    <row r="393" spans="1:8" ht="30" customHeight="1">
      <c r="A393" s="5">
        <v>391</v>
      </c>
      <c r="B393" s="5" t="str">
        <f>"519720230605180538145025"</f>
        <v>519720230605180538145025</v>
      </c>
      <c r="C393" s="5" t="s">
        <v>9</v>
      </c>
      <c r="D393" s="5" t="str">
        <f t="shared" si="28"/>
        <v>0102</v>
      </c>
      <c r="E393" s="5" t="s">
        <v>11</v>
      </c>
      <c r="F393" s="5" t="str">
        <f>"曾玲俐"</f>
        <v>曾玲俐</v>
      </c>
      <c r="G393" s="5" t="str">
        <f>"女"</f>
        <v>女</v>
      </c>
      <c r="H393" s="5"/>
    </row>
    <row r="394" spans="1:8" ht="30" customHeight="1">
      <c r="A394" s="5">
        <v>392</v>
      </c>
      <c r="B394" s="5" t="str">
        <f>"519720230605185951145041"</f>
        <v>519720230605185951145041</v>
      </c>
      <c r="C394" s="5" t="s">
        <v>9</v>
      </c>
      <c r="D394" s="5" t="str">
        <f t="shared" si="28"/>
        <v>0102</v>
      </c>
      <c r="E394" s="5" t="s">
        <v>11</v>
      </c>
      <c r="F394" s="5" t="str">
        <f>"黄一镝"</f>
        <v>黄一镝</v>
      </c>
      <c r="G394" s="5" t="str">
        <f>"女"</f>
        <v>女</v>
      </c>
      <c r="H394" s="5"/>
    </row>
    <row r="395" spans="1:8" ht="30" customHeight="1">
      <c r="A395" s="5">
        <v>393</v>
      </c>
      <c r="B395" s="5" t="str">
        <f>"519720230605145440144973"</f>
        <v>519720230605145440144973</v>
      </c>
      <c r="C395" s="5" t="s">
        <v>9</v>
      </c>
      <c r="D395" s="5" t="str">
        <f t="shared" si="28"/>
        <v>0102</v>
      </c>
      <c r="E395" s="5" t="s">
        <v>11</v>
      </c>
      <c r="F395" s="5" t="str">
        <f>"陈泽宇"</f>
        <v>陈泽宇</v>
      </c>
      <c r="G395" s="5" t="str">
        <f>"男"</f>
        <v>男</v>
      </c>
      <c r="H395" s="5"/>
    </row>
    <row r="396" spans="1:8" ht="30" customHeight="1">
      <c r="A396" s="5">
        <v>394</v>
      </c>
      <c r="B396" s="5" t="str">
        <f>"519720230604181145144827"</f>
        <v>519720230604181145144827</v>
      </c>
      <c r="C396" s="5" t="s">
        <v>9</v>
      </c>
      <c r="D396" s="5" t="str">
        <f t="shared" si="28"/>
        <v>0102</v>
      </c>
      <c r="E396" s="5" t="s">
        <v>11</v>
      </c>
      <c r="F396" s="5" t="str">
        <f>"吴美乾"</f>
        <v>吴美乾</v>
      </c>
      <c r="G396" s="5" t="str">
        <f>"女"</f>
        <v>女</v>
      </c>
      <c r="H396" s="5"/>
    </row>
    <row r="397" spans="1:8" ht="30" customHeight="1">
      <c r="A397" s="5">
        <v>395</v>
      </c>
      <c r="B397" s="5" t="str">
        <f>"519720230605190519145045"</f>
        <v>519720230605190519145045</v>
      </c>
      <c r="C397" s="5" t="s">
        <v>9</v>
      </c>
      <c r="D397" s="5" t="str">
        <f t="shared" si="28"/>
        <v>0102</v>
      </c>
      <c r="E397" s="5" t="s">
        <v>11</v>
      </c>
      <c r="F397" s="5" t="str">
        <f>"徐加茹"</f>
        <v>徐加茹</v>
      </c>
      <c r="G397" s="5" t="str">
        <f>"女"</f>
        <v>女</v>
      </c>
      <c r="H397" s="5"/>
    </row>
    <row r="398" spans="1:8" ht="30" customHeight="1">
      <c r="A398" s="5">
        <v>396</v>
      </c>
      <c r="B398" s="5" t="str">
        <f>"519720230605215210145085"</f>
        <v>519720230605215210145085</v>
      </c>
      <c r="C398" s="5" t="s">
        <v>9</v>
      </c>
      <c r="D398" s="5" t="str">
        <f t="shared" si="28"/>
        <v>0102</v>
      </c>
      <c r="E398" s="5" t="s">
        <v>11</v>
      </c>
      <c r="F398" s="5" t="str">
        <f>"谭子健"</f>
        <v>谭子健</v>
      </c>
      <c r="G398" s="5" t="str">
        <f>"女"</f>
        <v>女</v>
      </c>
      <c r="H398" s="5"/>
    </row>
    <row r="399" spans="1:8" ht="30" customHeight="1">
      <c r="A399" s="5">
        <v>397</v>
      </c>
      <c r="B399" s="5" t="str">
        <f>"519720230605223038145107"</f>
        <v>519720230605223038145107</v>
      </c>
      <c r="C399" s="5" t="s">
        <v>9</v>
      </c>
      <c r="D399" s="5" t="str">
        <f t="shared" si="28"/>
        <v>0102</v>
      </c>
      <c r="E399" s="5" t="s">
        <v>11</v>
      </c>
      <c r="F399" s="5" t="str">
        <f>"李娴"</f>
        <v>李娴</v>
      </c>
      <c r="G399" s="5" t="str">
        <f>"女"</f>
        <v>女</v>
      </c>
      <c r="H399" s="5"/>
    </row>
    <row r="400" spans="1:8" ht="30" customHeight="1">
      <c r="A400" s="5">
        <v>398</v>
      </c>
      <c r="B400" s="5" t="str">
        <f>"519720230601225509144468"</f>
        <v>519720230601225509144468</v>
      </c>
      <c r="C400" s="5" t="s">
        <v>9</v>
      </c>
      <c r="D400" s="5" t="str">
        <f t="shared" si="28"/>
        <v>0102</v>
      </c>
      <c r="E400" s="5" t="s">
        <v>11</v>
      </c>
      <c r="F400" s="5" t="str">
        <f>"朱禹霏"</f>
        <v>朱禹霏</v>
      </c>
      <c r="G400" s="5" t="str">
        <f>"女"</f>
        <v>女</v>
      </c>
      <c r="H400" s="5"/>
    </row>
    <row r="401" spans="1:8" ht="30" customHeight="1">
      <c r="A401" s="5">
        <v>399</v>
      </c>
      <c r="B401" s="5" t="str">
        <f>"519720230605121709144948"</f>
        <v>519720230605121709144948</v>
      </c>
      <c r="C401" s="5" t="s">
        <v>9</v>
      </c>
      <c r="D401" s="5" t="str">
        <f t="shared" si="28"/>
        <v>0102</v>
      </c>
      <c r="E401" s="5" t="s">
        <v>11</v>
      </c>
      <c r="F401" s="5" t="str">
        <f>"尹春潮"</f>
        <v>尹春潮</v>
      </c>
      <c r="G401" s="5" t="str">
        <f>"男"</f>
        <v>男</v>
      </c>
      <c r="H401" s="5"/>
    </row>
    <row r="402" spans="1:8" ht="30" customHeight="1">
      <c r="A402" s="5">
        <v>400</v>
      </c>
      <c r="B402" s="5" t="str">
        <f>"519720230602203104144610"</f>
        <v>519720230602203104144610</v>
      </c>
      <c r="C402" s="5" t="s">
        <v>9</v>
      </c>
      <c r="D402" s="5" t="str">
        <f t="shared" si="28"/>
        <v>0102</v>
      </c>
      <c r="E402" s="5" t="s">
        <v>11</v>
      </c>
      <c r="F402" s="5" t="str">
        <f>"李丽娜"</f>
        <v>李丽娜</v>
      </c>
      <c r="G402" s="5" t="str">
        <f>"女"</f>
        <v>女</v>
      </c>
      <c r="H402" s="5"/>
    </row>
    <row r="403" spans="1:8" ht="30" customHeight="1">
      <c r="A403" s="5">
        <v>401</v>
      </c>
      <c r="B403" s="5" t="str">
        <f>"519720230605223929145110"</f>
        <v>519720230605223929145110</v>
      </c>
      <c r="C403" s="5" t="s">
        <v>9</v>
      </c>
      <c r="D403" s="5" t="str">
        <f t="shared" si="28"/>
        <v>0102</v>
      </c>
      <c r="E403" s="5" t="s">
        <v>11</v>
      </c>
      <c r="F403" s="5" t="str">
        <f>"陈颖"</f>
        <v>陈颖</v>
      </c>
      <c r="G403" s="5" t="str">
        <f>"女"</f>
        <v>女</v>
      </c>
      <c r="H403" s="5"/>
    </row>
    <row r="404" spans="1:8" ht="30" customHeight="1">
      <c r="A404" s="5">
        <v>402</v>
      </c>
      <c r="B404" s="5" t="str">
        <f>"519720230605133345144966"</f>
        <v>519720230605133345144966</v>
      </c>
      <c r="C404" s="5" t="s">
        <v>9</v>
      </c>
      <c r="D404" s="5" t="str">
        <f t="shared" si="28"/>
        <v>0102</v>
      </c>
      <c r="E404" s="5" t="s">
        <v>11</v>
      </c>
      <c r="F404" s="5" t="str">
        <f>"张云雪"</f>
        <v>张云雪</v>
      </c>
      <c r="G404" s="5" t="str">
        <f>"女"</f>
        <v>女</v>
      </c>
      <c r="H404" s="5"/>
    </row>
    <row r="405" spans="1:8" ht="30" customHeight="1">
      <c r="A405" s="5">
        <v>403</v>
      </c>
      <c r="B405" s="5" t="str">
        <f>"519720230605155419144990"</f>
        <v>519720230605155419144990</v>
      </c>
      <c r="C405" s="5" t="s">
        <v>9</v>
      </c>
      <c r="D405" s="5" t="str">
        <f t="shared" si="28"/>
        <v>0102</v>
      </c>
      <c r="E405" s="5" t="s">
        <v>11</v>
      </c>
      <c r="F405" s="5" t="str">
        <f>"李舒琪"</f>
        <v>李舒琪</v>
      </c>
      <c r="G405" s="5" t="str">
        <f>"女"</f>
        <v>女</v>
      </c>
      <c r="H405" s="5"/>
    </row>
    <row r="406" spans="1:8" ht="30" customHeight="1">
      <c r="A406" s="5">
        <v>404</v>
      </c>
      <c r="B406" s="5" t="str">
        <f>"519720230605232615145126"</f>
        <v>519720230605232615145126</v>
      </c>
      <c r="C406" s="5" t="s">
        <v>9</v>
      </c>
      <c r="D406" s="5" t="str">
        <f t="shared" si="28"/>
        <v>0102</v>
      </c>
      <c r="E406" s="5" t="s">
        <v>11</v>
      </c>
      <c r="F406" s="5" t="str">
        <f>"伍泽华"</f>
        <v>伍泽华</v>
      </c>
      <c r="G406" s="5" t="str">
        <f>"男"</f>
        <v>男</v>
      </c>
      <c r="H406" s="5"/>
    </row>
    <row r="407" spans="1:8" ht="30" customHeight="1">
      <c r="A407" s="5">
        <v>405</v>
      </c>
      <c r="B407" s="5" t="str">
        <f>"519720230605233123145128"</f>
        <v>519720230605233123145128</v>
      </c>
      <c r="C407" s="5" t="s">
        <v>9</v>
      </c>
      <c r="D407" s="5" t="str">
        <f t="shared" si="28"/>
        <v>0102</v>
      </c>
      <c r="E407" s="5" t="s">
        <v>11</v>
      </c>
      <c r="F407" s="5" t="str">
        <f>"张山霖"</f>
        <v>张山霖</v>
      </c>
      <c r="G407" s="5" t="str">
        <f>"男"</f>
        <v>男</v>
      </c>
      <c r="H407" s="5"/>
    </row>
    <row r="408" spans="1:8" ht="30" customHeight="1">
      <c r="A408" s="5">
        <v>406</v>
      </c>
      <c r="B408" s="5" t="str">
        <f>"519720230605231913145123"</f>
        <v>519720230605231913145123</v>
      </c>
      <c r="C408" s="5" t="s">
        <v>9</v>
      </c>
      <c r="D408" s="5" t="str">
        <f t="shared" si="28"/>
        <v>0102</v>
      </c>
      <c r="E408" s="5" t="s">
        <v>11</v>
      </c>
      <c r="F408" s="5" t="str">
        <f>"莫涵恋"</f>
        <v>莫涵恋</v>
      </c>
      <c r="G408" s="5" t="str">
        <f>"女"</f>
        <v>女</v>
      </c>
      <c r="H408" s="5"/>
    </row>
    <row r="409" spans="1:8" ht="30" customHeight="1">
      <c r="A409" s="5">
        <v>407</v>
      </c>
      <c r="B409" s="5" t="str">
        <f>"519720230603174402144714"</f>
        <v>519720230603174402144714</v>
      </c>
      <c r="C409" s="5" t="s">
        <v>9</v>
      </c>
      <c r="D409" s="5" t="str">
        <f t="shared" si="28"/>
        <v>0102</v>
      </c>
      <c r="E409" s="5" t="s">
        <v>11</v>
      </c>
      <c r="F409" s="5" t="str">
        <f>"孙在瑞"</f>
        <v>孙在瑞</v>
      </c>
      <c r="G409" s="5" t="str">
        <f>"男"</f>
        <v>男</v>
      </c>
      <c r="H409" s="5"/>
    </row>
    <row r="410" spans="1:8" ht="30" customHeight="1">
      <c r="A410" s="5">
        <v>408</v>
      </c>
      <c r="B410" s="5" t="str">
        <f>"519720230605184803145036"</f>
        <v>519720230605184803145036</v>
      </c>
      <c r="C410" s="5" t="s">
        <v>9</v>
      </c>
      <c r="D410" s="5" t="str">
        <f t="shared" si="28"/>
        <v>0102</v>
      </c>
      <c r="E410" s="5" t="s">
        <v>11</v>
      </c>
      <c r="F410" s="5" t="str">
        <f>"陈均建"</f>
        <v>陈均建</v>
      </c>
      <c r="G410" s="5" t="str">
        <f>"男"</f>
        <v>男</v>
      </c>
      <c r="H410" s="5"/>
    </row>
    <row r="411" spans="1:8" ht="30" customHeight="1">
      <c r="A411" s="5">
        <v>409</v>
      </c>
      <c r="B411" s="5" t="str">
        <f>"519720230606004601145145"</f>
        <v>519720230606004601145145</v>
      </c>
      <c r="C411" s="5" t="s">
        <v>9</v>
      </c>
      <c r="D411" s="5" t="str">
        <f t="shared" si="28"/>
        <v>0102</v>
      </c>
      <c r="E411" s="5" t="s">
        <v>11</v>
      </c>
      <c r="F411" s="5" t="str">
        <f>"谢剑超"</f>
        <v>谢剑超</v>
      </c>
      <c r="G411" s="5" t="str">
        <f>"男"</f>
        <v>男</v>
      </c>
      <c r="H411" s="5"/>
    </row>
    <row r="412" spans="1:8" ht="30" customHeight="1">
      <c r="A412" s="5">
        <v>410</v>
      </c>
      <c r="B412" s="5" t="str">
        <f>"519720230606012414145146"</f>
        <v>519720230606012414145146</v>
      </c>
      <c r="C412" s="5" t="s">
        <v>9</v>
      </c>
      <c r="D412" s="5" t="str">
        <f t="shared" si="28"/>
        <v>0102</v>
      </c>
      <c r="E412" s="5" t="s">
        <v>11</v>
      </c>
      <c r="F412" s="5" t="str">
        <f>"王金银"</f>
        <v>王金银</v>
      </c>
      <c r="G412" s="5" t="str">
        <f aca="true" t="shared" si="31" ref="G412:G419">"女"</f>
        <v>女</v>
      </c>
      <c r="H412" s="5"/>
    </row>
    <row r="413" spans="1:8" ht="30" customHeight="1">
      <c r="A413" s="5">
        <v>411</v>
      </c>
      <c r="B413" s="5" t="str">
        <f>"519720230603225600144748"</f>
        <v>519720230603225600144748</v>
      </c>
      <c r="C413" s="5" t="s">
        <v>9</v>
      </c>
      <c r="D413" s="5" t="str">
        <f t="shared" si="28"/>
        <v>0102</v>
      </c>
      <c r="E413" s="5" t="s">
        <v>11</v>
      </c>
      <c r="F413" s="5" t="str">
        <f>"刘芳宁"</f>
        <v>刘芳宁</v>
      </c>
      <c r="G413" s="5" t="str">
        <f t="shared" si="31"/>
        <v>女</v>
      </c>
      <c r="H413" s="5"/>
    </row>
    <row r="414" spans="1:8" ht="30" customHeight="1">
      <c r="A414" s="5">
        <v>412</v>
      </c>
      <c r="B414" s="5" t="str">
        <f>"519720230606021356145149"</f>
        <v>519720230606021356145149</v>
      </c>
      <c r="C414" s="5" t="s">
        <v>9</v>
      </c>
      <c r="D414" s="5" t="str">
        <f aca="true" t="shared" si="32" ref="D414:D437">"0102"</f>
        <v>0102</v>
      </c>
      <c r="E414" s="5" t="s">
        <v>11</v>
      </c>
      <c r="F414" s="5" t="str">
        <f>"刘彤"</f>
        <v>刘彤</v>
      </c>
      <c r="G414" s="5" t="str">
        <f t="shared" si="31"/>
        <v>女</v>
      </c>
      <c r="H414" s="5"/>
    </row>
    <row r="415" spans="1:8" ht="30" customHeight="1">
      <c r="A415" s="5">
        <v>413</v>
      </c>
      <c r="B415" s="5" t="str">
        <f>"519720230605115105144941"</f>
        <v>519720230605115105144941</v>
      </c>
      <c r="C415" s="5" t="s">
        <v>9</v>
      </c>
      <c r="D415" s="5" t="str">
        <f t="shared" si="32"/>
        <v>0102</v>
      </c>
      <c r="E415" s="5" t="s">
        <v>11</v>
      </c>
      <c r="F415" s="5" t="str">
        <f>"符婷婷"</f>
        <v>符婷婷</v>
      </c>
      <c r="G415" s="5" t="str">
        <f t="shared" si="31"/>
        <v>女</v>
      </c>
      <c r="H415" s="5"/>
    </row>
    <row r="416" spans="1:8" ht="30" customHeight="1">
      <c r="A416" s="5">
        <v>414</v>
      </c>
      <c r="B416" s="5" t="str">
        <f>"519720230605234550145132"</f>
        <v>519720230605234550145132</v>
      </c>
      <c r="C416" s="5" t="s">
        <v>9</v>
      </c>
      <c r="D416" s="5" t="str">
        <f t="shared" si="32"/>
        <v>0102</v>
      </c>
      <c r="E416" s="5" t="s">
        <v>11</v>
      </c>
      <c r="F416" s="5" t="str">
        <f>"谢思蝶"</f>
        <v>谢思蝶</v>
      </c>
      <c r="G416" s="5" t="str">
        <f t="shared" si="31"/>
        <v>女</v>
      </c>
      <c r="H416" s="5"/>
    </row>
    <row r="417" spans="1:8" ht="30" customHeight="1">
      <c r="A417" s="5">
        <v>415</v>
      </c>
      <c r="B417" s="5" t="str">
        <f>"519720230601145358144413"</f>
        <v>519720230601145358144413</v>
      </c>
      <c r="C417" s="5" t="s">
        <v>9</v>
      </c>
      <c r="D417" s="5" t="str">
        <f t="shared" si="32"/>
        <v>0102</v>
      </c>
      <c r="E417" s="5" t="s">
        <v>11</v>
      </c>
      <c r="F417" s="5" t="str">
        <f>"韦雪佳"</f>
        <v>韦雪佳</v>
      </c>
      <c r="G417" s="5" t="str">
        <f t="shared" si="31"/>
        <v>女</v>
      </c>
      <c r="H417" s="5"/>
    </row>
    <row r="418" spans="1:8" ht="30" customHeight="1">
      <c r="A418" s="5">
        <v>416</v>
      </c>
      <c r="B418" s="5" t="str">
        <f>"519720230528225939143493"</f>
        <v>519720230528225939143493</v>
      </c>
      <c r="C418" s="5" t="s">
        <v>9</v>
      </c>
      <c r="D418" s="5" t="str">
        <f t="shared" si="32"/>
        <v>0102</v>
      </c>
      <c r="E418" s="5" t="s">
        <v>11</v>
      </c>
      <c r="F418" s="5" t="str">
        <f>"陈杨洁"</f>
        <v>陈杨洁</v>
      </c>
      <c r="G418" s="5" t="str">
        <f t="shared" si="31"/>
        <v>女</v>
      </c>
      <c r="H418" s="5"/>
    </row>
    <row r="419" spans="1:8" ht="30" customHeight="1">
      <c r="A419" s="5">
        <v>417</v>
      </c>
      <c r="B419" s="5" t="str">
        <f>"519720230606080250145158"</f>
        <v>519720230606080250145158</v>
      </c>
      <c r="C419" s="5" t="s">
        <v>9</v>
      </c>
      <c r="D419" s="5" t="str">
        <f t="shared" si="32"/>
        <v>0102</v>
      </c>
      <c r="E419" s="5" t="s">
        <v>11</v>
      </c>
      <c r="F419" s="5" t="str">
        <f>"刘汉丽"</f>
        <v>刘汉丽</v>
      </c>
      <c r="G419" s="5" t="str">
        <f t="shared" si="31"/>
        <v>女</v>
      </c>
      <c r="H419" s="5"/>
    </row>
    <row r="420" spans="1:8" ht="30" customHeight="1">
      <c r="A420" s="5">
        <v>418</v>
      </c>
      <c r="B420" s="5" t="str">
        <f>"519720230606090635145171"</f>
        <v>519720230606090635145171</v>
      </c>
      <c r="C420" s="5" t="s">
        <v>9</v>
      </c>
      <c r="D420" s="5" t="str">
        <f t="shared" si="32"/>
        <v>0102</v>
      </c>
      <c r="E420" s="5" t="s">
        <v>11</v>
      </c>
      <c r="F420" s="5" t="str">
        <f>"赫禹杭"</f>
        <v>赫禹杭</v>
      </c>
      <c r="G420" s="5" t="str">
        <f>"男"</f>
        <v>男</v>
      </c>
      <c r="H420" s="5"/>
    </row>
    <row r="421" spans="1:8" ht="30" customHeight="1">
      <c r="A421" s="5">
        <v>419</v>
      </c>
      <c r="B421" s="5" t="str">
        <f>"519720230606092326145178"</f>
        <v>519720230606092326145178</v>
      </c>
      <c r="C421" s="5" t="s">
        <v>9</v>
      </c>
      <c r="D421" s="5" t="str">
        <f t="shared" si="32"/>
        <v>0102</v>
      </c>
      <c r="E421" s="5" t="s">
        <v>11</v>
      </c>
      <c r="F421" s="5" t="str">
        <f>"曾子宸"</f>
        <v>曾子宸</v>
      </c>
      <c r="G421" s="5" t="str">
        <f>"女"</f>
        <v>女</v>
      </c>
      <c r="H421" s="5"/>
    </row>
    <row r="422" spans="1:8" ht="30" customHeight="1">
      <c r="A422" s="5">
        <v>420</v>
      </c>
      <c r="B422" s="5" t="str">
        <f>"519720230605231448145122"</f>
        <v>519720230605231448145122</v>
      </c>
      <c r="C422" s="5" t="s">
        <v>9</v>
      </c>
      <c r="D422" s="5" t="str">
        <f t="shared" si="32"/>
        <v>0102</v>
      </c>
      <c r="E422" s="5" t="s">
        <v>11</v>
      </c>
      <c r="F422" s="5" t="str">
        <f>"吉愉"</f>
        <v>吉愉</v>
      </c>
      <c r="G422" s="5" t="str">
        <f>"女"</f>
        <v>女</v>
      </c>
      <c r="H422" s="5"/>
    </row>
    <row r="423" spans="1:8" ht="30" customHeight="1">
      <c r="A423" s="5">
        <v>421</v>
      </c>
      <c r="B423" s="5" t="str">
        <f>"519720230606094104145189"</f>
        <v>519720230606094104145189</v>
      </c>
      <c r="C423" s="5" t="s">
        <v>9</v>
      </c>
      <c r="D423" s="5" t="str">
        <f t="shared" si="32"/>
        <v>0102</v>
      </c>
      <c r="E423" s="5" t="s">
        <v>11</v>
      </c>
      <c r="F423" s="5" t="str">
        <f>"林栩卉"</f>
        <v>林栩卉</v>
      </c>
      <c r="G423" s="5" t="str">
        <f>"女"</f>
        <v>女</v>
      </c>
      <c r="H423" s="5"/>
    </row>
    <row r="424" spans="1:8" ht="30" customHeight="1">
      <c r="A424" s="5">
        <v>422</v>
      </c>
      <c r="B424" s="5" t="str">
        <f>"519720230606092251145177"</f>
        <v>519720230606092251145177</v>
      </c>
      <c r="C424" s="5" t="s">
        <v>9</v>
      </c>
      <c r="D424" s="5" t="str">
        <f t="shared" si="32"/>
        <v>0102</v>
      </c>
      <c r="E424" s="5" t="s">
        <v>11</v>
      </c>
      <c r="F424" s="5" t="str">
        <f>"邓洁薇"</f>
        <v>邓洁薇</v>
      </c>
      <c r="G424" s="5" t="str">
        <f>"女"</f>
        <v>女</v>
      </c>
      <c r="H424" s="5"/>
    </row>
    <row r="425" spans="1:8" ht="30" customHeight="1">
      <c r="A425" s="5">
        <v>423</v>
      </c>
      <c r="B425" s="5" t="str">
        <f>"519720230606084012145163"</f>
        <v>519720230606084012145163</v>
      </c>
      <c r="C425" s="5" t="s">
        <v>9</v>
      </c>
      <c r="D425" s="5" t="str">
        <f t="shared" si="32"/>
        <v>0102</v>
      </c>
      <c r="E425" s="5" t="s">
        <v>11</v>
      </c>
      <c r="F425" s="5" t="str">
        <f>"郑瑞"</f>
        <v>郑瑞</v>
      </c>
      <c r="G425" s="5" t="str">
        <f>"男"</f>
        <v>男</v>
      </c>
      <c r="H425" s="5"/>
    </row>
    <row r="426" spans="1:8" ht="30" customHeight="1">
      <c r="A426" s="5">
        <v>424</v>
      </c>
      <c r="B426" s="5" t="str">
        <f>"519720230602090523144494"</f>
        <v>519720230602090523144494</v>
      </c>
      <c r="C426" s="5" t="s">
        <v>9</v>
      </c>
      <c r="D426" s="5" t="str">
        <f t="shared" si="32"/>
        <v>0102</v>
      </c>
      <c r="E426" s="5" t="s">
        <v>11</v>
      </c>
      <c r="F426" s="5" t="str">
        <f>"陈美君"</f>
        <v>陈美君</v>
      </c>
      <c r="G426" s="5" t="str">
        <f aca="true" t="shared" si="33" ref="G426:G432">"女"</f>
        <v>女</v>
      </c>
      <c r="H426" s="5"/>
    </row>
    <row r="427" spans="1:8" ht="30" customHeight="1">
      <c r="A427" s="5">
        <v>425</v>
      </c>
      <c r="B427" s="5" t="str">
        <f>"519720230606085542145167"</f>
        <v>519720230606085542145167</v>
      </c>
      <c r="C427" s="5" t="s">
        <v>9</v>
      </c>
      <c r="D427" s="5" t="str">
        <f t="shared" si="32"/>
        <v>0102</v>
      </c>
      <c r="E427" s="5" t="s">
        <v>11</v>
      </c>
      <c r="F427" s="5" t="str">
        <f>"黎俞"</f>
        <v>黎俞</v>
      </c>
      <c r="G427" s="5" t="str">
        <f t="shared" si="33"/>
        <v>女</v>
      </c>
      <c r="H427" s="5"/>
    </row>
    <row r="428" spans="1:8" ht="30" customHeight="1">
      <c r="A428" s="5">
        <v>426</v>
      </c>
      <c r="B428" s="5" t="str">
        <f>"519720230606093445145183"</f>
        <v>519720230606093445145183</v>
      </c>
      <c r="C428" s="5" t="s">
        <v>9</v>
      </c>
      <c r="D428" s="5" t="str">
        <f t="shared" si="32"/>
        <v>0102</v>
      </c>
      <c r="E428" s="5" t="s">
        <v>11</v>
      </c>
      <c r="F428" s="5" t="str">
        <f>"张惠"</f>
        <v>张惠</v>
      </c>
      <c r="G428" s="5" t="str">
        <f t="shared" si="33"/>
        <v>女</v>
      </c>
      <c r="H428" s="5"/>
    </row>
    <row r="429" spans="1:8" ht="30" customHeight="1">
      <c r="A429" s="5">
        <v>427</v>
      </c>
      <c r="B429" s="5" t="str">
        <f>"519720230606085815145169"</f>
        <v>519720230606085815145169</v>
      </c>
      <c r="C429" s="5" t="s">
        <v>9</v>
      </c>
      <c r="D429" s="5" t="str">
        <f t="shared" si="32"/>
        <v>0102</v>
      </c>
      <c r="E429" s="5" t="s">
        <v>11</v>
      </c>
      <c r="F429" s="5" t="str">
        <f>"符天柔"</f>
        <v>符天柔</v>
      </c>
      <c r="G429" s="5" t="str">
        <f t="shared" si="33"/>
        <v>女</v>
      </c>
      <c r="H429" s="5"/>
    </row>
    <row r="430" spans="1:8" ht="30" customHeight="1">
      <c r="A430" s="5">
        <v>428</v>
      </c>
      <c r="B430" s="5" t="str">
        <f>"519720230606093159145181"</f>
        <v>519720230606093159145181</v>
      </c>
      <c r="C430" s="5" t="s">
        <v>9</v>
      </c>
      <c r="D430" s="5" t="str">
        <f t="shared" si="32"/>
        <v>0102</v>
      </c>
      <c r="E430" s="5" t="s">
        <v>11</v>
      </c>
      <c r="F430" s="5" t="str">
        <f>"杨竹叶"</f>
        <v>杨竹叶</v>
      </c>
      <c r="G430" s="5" t="str">
        <f t="shared" si="33"/>
        <v>女</v>
      </c>
      <c r="H430" s="5"/>
    </row>
    <row r="431" spans="1:8" ht="30" customHeight="1">
      <c r="A431" s="5">
        <v>429</v>
      </c>
      <c r="B431" s="5" t="str">
        <f>"519720230606104223145205"</f>
        <v>519720230606104223145205</v>
      </c>
      <c r="C431" s="5" t="s">
        <v>9</v>
      </c>
      <c r="D431" s="5" t="str">
        <f t="shared" si="32"/>
        <v>0102</v>
      </c>
      <c r="E431" s="5" t="s">
        <v>11</v>
      </c>
      <c r="F431" s="5" t="str">
        <f>"唐佳怡"</f>
        <v>唐佳怡</v>
      </c>
      <c r="G431" s="5" t="str">
        <f t="shared" si="33"/>
        <v>女</v>
      </c>
      <c r="H431" s="5"/>
    </row>
    <row r="432" spans="1:8" ht="30" customHeight="1">
      <c r="A432" s="5">
        <v>430</v>
      </c>
      <c r="B432" s="5" t="str">
        <f>"519720230606101000145198"</f>
        <v>519720230606101000145198</v>
      </c>
      <c r="C432" s="5" t="s">
        <v>9</v>
      </c>
      <c r="D432" s="5" t="str">
        <f t="shared" si="32"/>
        <v>0102</v>
      </c>
      <c r="E432" s="5" t="s">
        <v>11</v>
      </c>
      <c r="F432" s="5" t="str">
        <f>"周洁"</f>
        <v>周洁</v>
      </c>
      <c r="G432" s="5" t="str">
        <f t="shared" si="33"/>
        <v>女</v>
      </c>
      <c r="H432" s="5"/>
    </row>
    <row r="433" spans="1:8" ht="30" customHeight="1">
      <c r="A433" s="5">
        <v>431</v>
      </c>
      <c r="B433" s="5" t="str">
        <f>"519720230606112905145222"</f>
        <v>519720230606112905145222</v>
      </c>
      <c r="C433" s="5" t="s">
        <v>9</v>
      </c>
      <c r="D433" s="5" t="str">
        <f t="shared" si="32"/>
        <v>0102</v>
      </c>
      <c r="E433" s="5" t="s">
        <v>11</v>
      </c>
      <c r="F433" s="5" t="str">
        <f>"涂觊乔"</f>
        <v>涂觊乔</v>
      </c>
      <c r="G433" s="5" t="str">
        <f>"男"</f>
        <v>男</v>
      </c>
      <c r="H433" s="5"/>
    </row>
    <row r="434" spans="1:8" ht="30" customHeight="1">
      <c r="A434" s="5">
        <v>432</v>
      </c>
      <c r="B434" s="5" t="str">
        <f>"519720230522090753142221"</f>
        <v>519720230522090753142221</v>
      </c>
      <c r="C434" s="5" t="s">
        <v>9</v>
      </c>
      <c r="D434" s="5" t="str">
        <f t="shared" si="32"/>
        <v>0102</v>
      </c>
      <c r="E434" s="5" t="s">
        <v>11</v>
      </c>
      <c r="F434" s="5" t="str">
        <f>"麦榆"</f>
        <v>麦榆</v>
      </c>
      <c r="G434" s="5" t="str">
        <f aca="true" t="shared" si="34" ref="G434:G439">"女"</f>
        <v>女</v>
      </c>
      <c r="H434" s="5"/>
    </row>
    <row r="435" spans="1:8" ht="30" customHeight="1">
      <c r="A435" s="5">
        <v>433</v>
      </c>
      <c r="B435" s="5" t="str">
        <f>"519720230606091804145175"</f>
        <v>519720230606091804145175</v>
      </c>
      <c r="C435" s="5" t="s">
        <v>9</v>
      </c>
      <c r="D435" s="5" t="str">
        <f t="shared" si="32"/>
        <v>0102</v>
      </c>
      <c r="E435" s="5" t="s">
        <v>11</v>
      </c>
      <c r="F435" s="5" t="str">
        <f>"益西拉姆"</f>
        <v>益西拉姆</v>
      </c>
      <c r="G435" s="5" t="str">
        <f t="shared" si="34"/>
        <v>女</v>
      </c>
      <c r="H435" s="5"/>
    </row>
    <row r="436" spans="1:8" ht="30" customHeight="1">
      <c r="A436" s="5">
        <v>434</v>
      </c>
      <c r="B436" s="5" t="str">
        <f>"519720230605222051145104"</f>
        <v>519720230605222051145104</v>
      </c>
      <c r="C436" s="5" t="s">
        <v>9</v>
      </c>
      <c r="D436" s="5" t="str">
        <f t="shared" si="32"/>
        <v>0102</v>
      </c>
      <c r="E436" s="5" t="s">
        <v>11</v>
      </c>
      <c r="F436" s="5" t="str">
        <f>"叶禹辰"</f>
        <v>叶禹辰</v>
      </c>
      <c r="G436" s="5" t="str">
        <f t="shared" si="34"/>
        <v>女</v>
      </c>
      <c r="H436" s="5"/>
    </row>
    <row r="437" spans="1:8" ht="30" customHeight="1">
      <c r="A437" s="5">
        <v>435</v>
      </c>
      <c r="B437" s="5" t="str">
        <f>"519720230606112510145219"</f>
        <v>519720230606112510145219</v>
      </c>
      <c r="C437" s="5" t="s">
        <v>9</v>
      </c>
      <c r="D437" s="5" t="str">
        <f t="shared" si="32"/>
        <v>0102</v>
      </c>
      <c r="E437" s="5" t="s">
        <v>11</v>
      </c>
      <c r="F437" s="5" t="str">
        <f>"袁月"</f>
        <v>袁月</v>
      </c>
      <c r="G437" s="5" t="str">
        <f t="shared" si="34"/>
        <v>女</v>
      </c>
      <c r="H437" s="5"/>
    </row>
    <row r="438" spans="1:8" ht="30" customHeight="1">
      <c r="A438" s="5">
        <v>436</v>
      </c>
      <c r="B438" s="5" t="str">
        <f>"519720230523113210142727"</f>
        <v>519720230523113210142727</v>
      </c>
      <c r="C438" s="5" t="s">
        <v>9</v>
      </c>
      <c r="D438" s="5" t="str">
        <f>"0103"</f>
        <v>0103</v>
      </c>
      <c r="E438" s="5" t="s">
        <v>14</v>
      </c>
      <c r="F438" s="5" t="str">
        <f>"彭玉璋"</f>
        <v>彭玉璋</v>
      </c>
      <c r="G438" s="5" t="str">
        <f t="shared" si="34"/>
        <v>女</v>
      </c>
      <c r="H438" s="5"/>
    </row>
    <row r="439" spans="1:8" ht="30" customHeight="1">
      <c r="A439" s="5">
        <v>437</v>
      </c>
      <c r="B439" s="5" t="str">
        <f>"519720230605132038144962"</f>
        <v>519720230605132038144962</v>
      </c>
      <c r="C439" s="5" t="s">
        <v>9</v>
      </c>
      <c r="D439" s="5" t="str">
        <f>"0103"</f>
        <v>0103</v>
      </c>
      <c r="E439" s="5" t="s">
        <v>14</v>
      </c>
      <c r="F439" s="5" t="str">
        <f>"盘玥"</f>
        <v>盘玥</v>
      </c>
      <c r="G439" s="5" t="str">
        <f t="shared" si="34"/>
        <v>女</v>
      </c>
      <c r="H439" s="5"/>
    </row>
    <row r="440" spans="1:8" ht="30" customHeight="1">
      <c r="A440" s="5">
        <v>438</v>
      </c>
      <c r="B440" s="5" t="str">
        <f>"519720230605153201144981"</f>
        <v>519720230605153201144981</v>
      </c>
      <c r="C440" s="5" t="s">
        <v>9</v>
      </c>
      <c r="D440" s="5" t="str">
        <f>"0103"</f>
        <v>0103</v>
      </c>
      <c r="E440" s="5" t="s">
        <v>14</v>
      </c>
      <c r="F440" s="5" t="str">
        <f>"陈有济"</f>
        <v>陈有济</v>
      </c>
      <c r="G440" s="5" t="str">
        <f>"男"</f>
        <v>男</v>
      </c>
      <c r="H440" s="5"/>
    </row>
    <row r="441" spans="1:8" ht="30" customHeight="1">
      <c r="A441" s="5">
        <v>439</v>
      </c>
      <c r="B441" s="5" t="str">
        <f>"519720230522164341142492"</f>
        <v>519720230522164341142492</v>
      </c>
      <c r="C441" s="5" t="s">
        <v>9</v>
      </c>
      <c r="D441" s="5" t="str">
        <f aca="true" t="shared" si="35" ref="D441:D456">"0104"</f>
        <v>0104</v>
      </c>
      <c r="E441" s="5" t="s">
        <v>15</v>
      </c>
      <c r="F441" s="5" t="str">
        <f>"张敏梅"</f>
        <v>张敏梅</v>
      </c>
      <c r="G441" s="5" t="str">
        <f>"女"</f>
        <v>女</v>
      </c>
      <c r="H441" s="5"/>
    </row>
    <row r="442" spans="1:8" ht="30" customHeight="1">
      <c r="A442" s="5">
        <v>440</v>
      </c>
      <c r="B442" s="5" t="str">
        <f>"519720230524122425142999"</f>
        <v>519720230524122425142999</v>
      </c>
      <c r="C442" s="5" t="s">
        <v>9</v>
      </c>
      <c r="D442" s="5" t="str">
        <f t="shared" si="35"/>
        <v>0104</v>
      </c>
      <c r="E442" s="5" t="s">
        <v>15</v>
      </c>
      <c r="F442" s="5" t="str">
        <f>"刘天琪"</f>
        <v>刘天琪</v>
      </c>
      <c r="G442" s="5" t="str">
        <f>"女"</f>
        <v>女</v>
      </c>
      <c r="H442" s="5"/>
    </row>
    <row r="443" spans="1:8" ht="30" customHeight="1">
      <c r="A443" s="5">
        <v>441</v>
      </c>
      <c r="B443" s="5" t="str">
        <f>"519720230527103958143389"</f>
        <v>519720230527103958143389</v>
      </c>
      <c r="C443" s="5" t="s">
        <v>9</v>
      </c>
      <c r="D443" s="5" t="str">
        <f t="shared" si="35"/>
        <v>0104</v>
      </c>
      <c r="E443" s="5" t="s">
        <v>15</v>
      </c>
      <c r="F443" s="5" t="str">
        <f>"马青源"</f>
        <v>马青源</v>
      </c>
      <c r="G443" s="5" t="str">
        <f>"男"</f>
        <v>男</v>
      </c>
      <c r="H443" s="5"/>
    </row>
    <row r="444" spans="1:8" ht="30" customHeight="1">
      <c r="A444" s="5">
        <v>442</v>
      </c>
      <c r="B444" s="5" t="str">
        <f>"519720230526162055143332"</f>
        <v>519720230526162055143332</v>
      </c>
      <c r="C444" s="5" t="s">
        <v>9</v>
      </c>
      <c r="D444" s="5" t="str">
        <f t="shared" si="35"/>
        <v>0104</v>
      </c>
      <c r="E444" s="5" t="s">
        <v>15</v>
      </c>
      <c r="F444" s="5" t="str">
        <f>"王乐"</f>
        <v>王乐</v>
      </c>
      <c r="G444" s="5" t="str">
        <f aca="true" t="shared" si="36" ref="G444:G450">"女"</f>
        <v>女</v>
      </c>
      <c r="H444" s="5"/>
    </row>
    <row r="445" spans="1:8" ht="30" customHeight="1">
      <c r="A445" s="5">
        <v>443</v>
      </c>
      <c r="B445" s="5" t="str">
        <f>"519720230529095952143556"</f>
        <v>519720230529095952143556</v>
      </c>
      <c r="C445" s="5" t="s">
        <v>9</v>
      </c>
      <c r="D445" s="5" t="str">
        <f t="shared" si="35"/>
        <v>0104</v>
      </c>
      <c r="E445" s="5" t="s">
        <v>15</v>
      </c>
      <c r="F445" s="5" t="str">
        <f>"孙玺"</f>
        <v>孙玺</v>
      </c>
      <c r="G445" s="5" t="str">
        <f t="shared" si="36"/>
        <v>女</v>
      </c>
      <c r="H445" s="5"/>
    </row>
    <row r="446" spans="1:8" ht="30" customHeight="1">
      <c r="A446" s="5">
        <v>444</v>
      </c>
      <c r="B446" s="5" t="str">
        <f>"519720230529220725143837"</f>
        <v>519720230529220725143837</v>
      </c>
      <c r="C446" s="5" t="s">
        <v>9</v>
      </c>
      <c r="D446" s="5" t="str">
        <f t="shared" si="35"/>
        <v>0104</v>
      </c>
      <c r="E446" s="5" t="s">
        <v>15</v>
      </c>
      <c r="F446" s="5" t="str">
        <f>"姚爽"</f>
        <v>姚爽</v>
      </c>
      <c r="G446" s="5" t="str">
        <f t="shared" si="36"/>
        <v>女</v>
      </c>
      <c r="H446" s="5"/>
    </row>
    <row r="447" spans="1:8" ht="30" customHeight="1">
      <c r="A447" s="5">
        <v>445</v>
      </c>
      <c r="B447" s="5" t="str">
        <f>"519720230530083035143889"</f>
        <v>519720230530083035143889</v>
      </c>
      <c r="C447" s="5" t="s">
        <v>9</v>
      </c>
      <c r="D447" s="5" t="str">
        <f t="shared" si="35"/>
        <v>0104</v>
      </c>
      <c r="E447" s="5" t="s">
        <v>15</v>
      </c>
      <c r="F447" s="5" t="str">
        <f>"周敏"</f>
        <v>周敏</v>
      </c>
      <c r="G447" s="5" t="str">
        <f t="shared" si="36"/>
        <v>女</v>
      </c>
      <c r="H447" s="5"/>
    </row>
    <row r="448" spans="1:8" ht="30" customHeight="1">
      <c r="A448" s="5">
        <v>446</v>
      </c>
      <c r="B448" s="5" t="str">
        <f>"519720230529103512143584"</f>
        <v>519720230529103512143584</v>
      </c>
      <c r="C448" s="5" t="s">
        <v>9</v>
      </c>
      <c r="D448" s="5" t="str">
        <f t="shared" si="35"/>
        <v>0104</v>
      </c>
      <c r="E448" s="5" t="s">
        <v>15</v>
      </c>
      <c r="F448" s="5" t="str">
        <f>"王莉莎"</f>
        <v>王莉莎</v>
      </c>
      <c r="G448" s="5" t="str">
        <f t="shared" si="36"/>
        <v>女</v>
      </c>
      <c r="H448" s="5"/>
    </row>
    <row r="449" spans="1:8" ht="30" customHeight="1">
      <c r="A449" s="5">
        <v>447</v>
      </c>
      <c r="B449" s="5" t="str">
        <f>"519720230524155619143031"</f>
        <v>519720230524155619143031</v>
      </c>
      <c r="C449" s="5" t="s">
        <v>9</v>
      </c>
      <c r="D449" s="5" t="str">
        <f t="shared" si="35"/>
        <v>0104</v>
      </c>
      <c r="E449" s="5" t="s">
        <v>15</v>
      </c>
      <c r="F449" s="5" t="str">
        <f>"田宇宁"</f>
        <v>田宇宁</v>
      </c>
      <c r="G449" s="5" t="str">
        <f t="shared" si="36"/>
        <v>女</v>
      </c>
      <c r="H449" s="5"/>
    </row>
    <row r="450" spans="1:8" ht="30" customHeight="1">
      <c r="A450" s="5">
        <v>448</v>
      </c>
      <c r="B450" s="5" t="str">
        <f>"519720230531220135144359"</f>
        <v>519720230531220135144359</v>
      </c>
      <c r="C450" s="5" t="s">
        <v>9</v>
      </c>
      <c r="D450" s="5" t="str">
        <f t="shared" si="35"/>
        <v>0104</v>
      </c>
      <c r="E450" s="5" t="s">
        <v>15</v>
      </c>
      <c r="F450" s="5" t="str">
        <f>"董慧强"</f>
        <v>董慧强</v>
      </c>
      <c r="G450" s="5" t="str">
        <f t="shared" si="36"/>
        <v>女</v>
      </c>
      <c r="H450" s="5"/>
    </row>
    <row r="451" spans="1:8" ht="30" customHeight="1">
      <c r="A451" s="5">
        <v>449</v>
      </c>
      <c r="B451" s="5" t="str">
        <f>"519720230601085958144376"</f>
        <v>519720230601085958144376</v>
      </c>
      <c r="C451" s="5" t="s">
        <v>9</v>
      </c>
      <c r="D451" s="5" t="str">
        <f t="shared" si="35"/>
        <v>0104</v>
      </c>
      <c r="E451" s="5" t="s">
        <v>15</v>
      </c>
      <c r="F451" s="5" t="str">
        <f>"张健浩"</f>
        <v>张健浩</v>
      </c>
      <c r="G451" s="5" t="str">
        <f>"男"</f>
        <v>男</v>
      </c>
      <c r="H451" s="5"/>
    </row>
    <row r="452" spans="1:8" ht="30" customHeight="1">
      <c r="A452" s="5">
        <v>450</v>
      </c>
      <c r="B452" s="5" t="str">
        <f>"519720230527212326143426"</f>
        <v>519720230527212326143426</v>
      </c>
      <c r="C452" s="5" t="s">
        <v>9</v>
      </c>
      <c r="D452" s="5" t="str">
        <f t="shared" si="35"/>
        <v>0104</v>
      </c>
      <c r="E452" s="5" t="s">
        <v>15</v>
      </c>
      <c r="F452" s="5" t="str">
        <f>"肖洁琳"</f>
        <v>肖洁琳</v>
      </c>
      <c r="G452" s="5" t="str">
        <f>"女"</f>
        <v>女</v>
      </c>
      <c r="H452" s="5"/>
    </row>
    <row r="453" spans="1:8" ht="30" customHeight="1">
      <c r="A453" s="5">
        <v>451</v>
      </c>
      <c r="B453" s="5" t="str">
        <f>"519720230604181752144828"</f>
        <v>519720230604181752144828</v>
      </c>
      <c r="C453" s="5" t="s">
        <v>9</v>
      </c>
      <c r="D453" s="5" t="str">
        <f t="shared" si="35"/>
        <v>0104</v>
      </c>
      <c r="E453" s="5" t="s">
        <v>15</v>
      </c>
      <c r="F453" s="5" t="str">
        <f>"林秋妍"</f>
        <v>林秋妍</v>
      </c>
      <c r="G453" s="5" t="str">
        <f>"女"</f>
        <v>女</v>
      </c>
      <c r="H453" s="5"/>
    </row>
    <row r="454" spans="1:8" ht="30" customHeight="1">
      <c r="A454" s="5">
        <v>452</v>
      </c>
      <c r="B454" s="5" t="str">
        <f>"519720230604193337144840"</f>
        <v>519720230604193337144840</v>
      </c>
      <c r="C454" s="5" t="s">
        <v>9</v>
      </c>
      <c r="D454" s="5" t="str">
        <f t="shared" si="35"/>
        <v>0104</v>
      </c>
      <c r="E454" s="5" t="s">
        <v>15</v>
      </c>
      <c r="F454" s="5" t="str">
        <f>"何超"</f>
        <v>何超</v>
      </c>
      <c r="G454" s="5" t="str">
        <f>"男"</f>
        <v>男</v>
      </c>
      <c r="H454" s="5"/>
    </row>
    <row r="455" spans="1:8" ht="30" customHeight="1">
      <c r="A455" s="5">
        <v>453</v>
      </c>
      <c r="B455" s="5" t="str">
        <f>"519720230524103418142973"</f>
        <v>519720230524103418142973</v>
      </c>
      <c r="C455" s="5" t="s">
        <v>9</v>
      </c>
      <c r="D455" s="5" t="str">
        <f t="shared" si="35"/>
        <v>0104</v>
      </c>
      <c r="E455" s="5" t="s">
        <v>15</v>
      </c>
      <c r="F455" s="5" t="str">
        <f>"刘魁"</f>
        <v>刘魁</v>
      </c>
      <c r="G455" s="5" t="str">
        <f>"男"</f>
        <v>男</v>
      </c>
      <c r="H455" s="5"/>
    </row>
    <row r="456" spans="1:8" ht="30" customHeight="1">
      <c r="A456" s="5">
        <v>454</v>
      </c>
      <c r="B456" s="5" t="str">
        <f>"519720230525161430143213"</f>
        <v>519720230525161430143213</v>
      </c>
      <c r="C456" s="5" t="s">
        <v>9</v>
      </c>
      <c r="D456" s="5" t="str">
        <f t="shared" si="35"/>
        <v>0104</v>
      </c>
      <c r="E456" s="5" t="s">
        <v>15</v>
      </c>
      <c r="F456" s="5" t="str">
        <f>"张郁萌"</f>
        <v>张郁萌</v>
      </c>
      <c r="G456" s="5" t="str">
        <f>"女"</f>
        <v>女</v>
      </c>
      <c r="H456" s="5"/>
    </row>
    <row r="457" spans="1:8" ht="30" customHeight="1">
      <c r="A457" s="5">
        <v>455</v>
      </c>
      <c r="B457" s="5" t="str">
        <f>"519720230522153709142448"</f>
        <v>519720230522153709142448</v>
      </c>
      <c r="C457" s="5" t="s">
        <v>16</v>
      </c>
      <c r="D457" s="5" t="str">
        <f>"0201"</f>
        <v>0201</v>
      </c>
      <c r="E457" s="5" t="s">
        <v>17</v>
      </c>
      <c r="F457" s="5" t="str">
        <f>"杨玥兴"</f>
        <v>杨玥兴</v>
      </c>
      <c r="G457" s="5" t="str">
        <f>"男"</f>
        <v>男</v>
      </c>
      <c r="H457" s="5"/>
    </row>
    <row r="458" spans="1:8" ht="30" customHeight="1">
      <c r="A458" s="5">
        <v>456</v>
      </c>
      <c r="B458" s="5" t="str">
        <f>"519720230527180009143416"</f>
        <v>519720230527180009143416</v>
      </c>
      <c r="C458" s="5" t="s">
        <v>16</v>
      </c>
      <c r="D458" s="5" t="str">
        <f>"0201"</f>
        <v>0201</v>
      </c>
      <c r="E458" s="5" t="s">
        <v>17</v>
      </c>
      <c r="F458" s="5" t="str">
        <f>"梁博衍"</f>
        <v>梁博衍</v>
      </c>
      <c r="G458" s="5" t="str">
        <f>"男"</f>
        <v>男</v>
      </c>
      <c r="H458" s="5"/>
    </row>
    <row r="459" spans="1:8" ht="30" customHeight="1">
      <c r="A459" s="5">
        <v>457</v>
      </c>
      <c r="B459" s="5" t="str">
        <f>"519720230529205837143808"</f>
        <v>519720230529205837143808</v>
      </c>
      <c r="C459" s="5" t="s">
        <v>16</v>
      </c>
      <c r="D459" s="5" t="str">
        <f>"0201"</f>
        <v>0201</v>
      </c>
      <c r="E459" s="5" t="s">
        <v>17</v>
      </c>
      <c r="F459" s="5" t="str">
        <f>"廖曙琳"</f>
        <v>廖曙琳</v>
      </c>
      <c r="G459" s="5" t="str">
        <f>"男"</f>
        <v>男</v>
      </c>
      <c r="H459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2023-06-08T01:22:15Z</dcterms:created>
  <dcterms:modified xsi:type="dcterms:W3CDTF">2023-06-24T10:29:34Z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0AA1E07D0F7E431D947111C3533EE82F_13</vt:lpwstr>
  </property>
  <property fmtid="{D5CDD505-2E9C-101B-9397-08002B2CF9AE}" pid="4" name="KSOProductBuildV">
    <vt:lpwstr>2052-11.1.0.14309</vt:lpwstr>
  </property>
</Properties>
</file>